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leage Claims" sheetId="1" state="visible" r:id="rId1"/>
    <sheet xmlns:r="http://schemas.openxmlformats.org/officeDocument/2006/relationships" name="HMRC Rates" sheetId="2" state="visible" r:id="rId2"/>
    <sheet xmlns:r="http://schemas.openxmlformats.org/officeDocument/2006/relationships" name="Summary Dashboard" sheetId="3" state="visible" r:id="rId3"/>
    <sheet xmlns:r="http://schemas.openxmlformats.org/officeDocument/2006/relationships" name="Instructions" sheetId="4" state="visible" r:id="rId4"/>
  </sheets>
  <definedNames>
    <definedName name="_xlnm._FilterDatabase" localSheetId="0" hidden="1">'Mileage Claims'!$A$1:$R$1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YYYY"/>
    <numFmt numFmtId="165" formatCode="£#,##0.000"/>
    <numFmt numFmtId="166" formatCode="£#,##0.00"/>
    <numFmt numFmtId="167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b val="1"/>
      <color rgb="0016A34A"/>
      <sz val="11"/>
    </font>
    <font>
      <name val="Calibri"/>
      <b val="1"/>
      <color rgb="00FFFFFF"/>
      <sz val="14"/>
    </font>
    <font>
      <name val="Calibri"/>
      <b val="1"/>
      <color rgb="00DC2626"/>
      <sz val="12"/>
    </font>
    <font>
      <name val="Calibri"/>
      <b val="1"/>
      <color rgb="0016A34A"/>
      <sz val="12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color rgb="00000000"/>
      <sz val="11"/>
    </font>
    <font>
      <name val="Calibri"/>
      <color rgb="001D4ED8"/>
      <sz val="11"/>
    </font>
  </fonts>
  <fills count="13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  <fill>
      <patternFill patternType="solid">
        <fgColor rgb="00FEF9C3"/>
      </patternFill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7F7"/>
      </patternFill>
    </fill>
    <fill>
      <patternFill patternType="solid">
        <fgColor rgb="00EFF6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3" fontId="2" fillId="4" borderId="1" applyAlignment="1" pivotButton="0" quotePrefix="0" xfId="0">
      <alignment horizontal="right" vertical="center"/>
    </xf>
    <xf numFmtId="165" fontId="2" fillId="3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166" fontId="2" fillId="4" borderId="1" applyAlignment="1" pivotButton="0" quotePrefix="0" xfId="0">
      <alignment horizontal="right" vertical="center"/>
    </xf>
    <xf numFmtId="164" fontId="2" fillId="5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right" vertical="center"/>
    </xf>
    <xf numFmtId="166" fontId="2" fillId="5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right" vertical="center"/>
    </xf>
    <xf numFmtId="3" fontId="4" fillId="6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  <xf numFmtId="49" fontId="3" fillId="6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right" vertical="center"/>
    </xf>
    <xf numFmtId="0" fontId="1" fillId="7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3" fillId="8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center" vertical="center"/>
    </xf>
    <xf numFmtId="0" fontId="2" fillId="8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3" fontId="6" fillId="5" borderId="1" applyAlignment="1" pivotButton="0" quotePrefix="0" xfId="0">
      <alignment horizontal="right" vertical="center"/>
    </xf>
    <xf numFmtId="0" fontId="9" fillId="10" borderId="1" applyAlignment="1" pivotButton="0" quotePrefix="0" xfId="0">
      <alignment horizontal="center" vertical="center"/>
    </xf>
    <xf numFmtId="166" fontId="7" fillId="5" borderId="1" applyAlignment="1" pivotButton="0" quotePrefix="0" xfId="0">
      <alignment horizontal="right" vertical="center"/>
    </xf>
    <xf numFmtId="3" fontId="7" fillId="5" borderId="1" applyAlignment="1" pivotButton="0" quotePrefix="0" xfId="0">
      <alignment horizontal="right" vertical="center"/>
    </xf>
    <xf numFmtId="167" fontId="7" fillId="5" borderId="1" applyAlignment="1" pivotButton="0" quotePrefix="0" xfId="0">
      <alignment horizontal="right" vertical="center"/>
    </xf>
    <xf numFmtId="0" fontId="8" fillId="9" borderId="1" applyAlignment="1" pivotButton="0" quotePrefix="0" xfId="0">
      <alignment horizontal="center" vertical="center"/>
    </xf>
    <xf numFmtId="3" fontId="2" fillId="5" borderId="1" applyAlignment="1" pivotButton="0" quotePrefix="0" xfId="0">
      <alignment horizontal="right" vertical="center"/>
    </xf>
    <xf numFmtId="3" fontId="2" fillId="3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/>
    </xf>
    <xf numFmtId="0" fontId="10" fillId="5" borderId="1" applyAlignment="1" pivotButton="0" quotePrefix="0" xfId="0">
      <alignment horizontal="left" vertical="center"/>
    </xf>
    <xf numFmtId="0" fontId="8" fillId="9" borderId="1" applyAlignment="1" pivotButton="0" quotePrefix="0" xfId="0">
      <alignment horizontal="left" vertical="center"/>
    </xf>
    <xf numFmtId="0" fontId="10" fillId="3" borderId="1" applyAlignment="1" pivotButton="0" quotePrefix="0" xfId="0">
      <alignment horizontal="left" vertical="center"/>
    </xf>
    <xf numFmtId="0" fontId="1" fillId="10" borderId="1" applyAlignment="1" pivotButton="0" quotePrefix="0" xfId="0">
      <alignment horizontal="left" vertical="center"/>
    </xf>
    <xf numFmtId="0" fontId="8" fillId="7" borderId="1" applyAlignment="1" pivotButton="0" quotePrefix="0" xfId="0">
      <alignment horizontal="left" vertical="center"/>
    </xf>
    <xf numFmtId="0" fontId="10" fillId="11" borderId="1" applyAlignment="1" pivotButton="0" quotePrefix="0" xfId="0">
      <alignment horizontal="left" vertical="center"/>
    </xf>
    <xf numFmtId="0" fontId="11" fillId="12" borderId="1" applyAlignment="1" pivotButton="0" quotePrefix="0" xfId="0">
      <alignment horizontal="left" vertical="center"/>
    </xf>
    <xf numFmtId="164" fontId="2" fillId="3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right" vertical="center"/>
    </xf>
    <xf numFmtId="164" fontId="2" fillId="5" borderId="1" applyAlignment="1" pivotButton="0" quotePrefix="0" xfId="0">
      <alignment horizontal="left" vertical="center"/>
    </xf>
    <xf numFmtId="165" fontId="2" fillId="5" borderId="1" applyAlignment="1" pivotButton="0" quotePrefix="0" xfId="0">
      <alignment horizontal="right" vertical="center"/>
    </xf>
    <xf numFmtId="167" fontId="7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3">
    <dxf>
      <font>
        <name val="Calibri"/>
        <color rgb="0016A34A"/>
        <sz val="11"/>
      </font>
      <fill>
        <patternFill patternType="solid">
          <fgColor rgb="00DCFCE7"/>
        </patternFill>
      </fill>
    </dxf>
    <dxf>
      <font>
        <name val="Calibri"/>
        <color rgb="00CA8A04"/>
        <sz val="11"/>
      </font>
      <fill>
        <patternFill patternType="solid">
          <fgColor rgb="00FEF9C3"/>
        </patternFill>
      </fill>
    </dxf>
    <dxf>
      <font>
        <name val="Calibri"/>
        <color rgb="00DC2626"/>
        <sz val="11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Miles by Employee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'Summary Dashboard'!B13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'Summary Dashboard'!$A$14:$A$23</f>
            </numRef>
          </cat>
          <val>
            <numRef>
              <f>'Summary Dashboard'!$B$14:$B$23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Employee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Miles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Claim Value by Department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'Summary Dashboard'!C26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'Summary Dashboard'!$A$27:$A$32</f>
            </numRef>
          </cat>
          <val>
            <numRef>
              <f>'Summary Dashboard'!$C$27:$C$32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Claim Value (£)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Department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Approval Status Distribution</a:t>
            </a:r>
          </a:p>
        </rich>
      </tx>
    </title>
    <plotArea>
      <pieChart>
        <varyColors val="1"/>
        <ser>
          <idx val="0"/>
          <order val="0"/>
          <tx>
            <strRef>
              <f>'Summary Dashboard'!F3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Dashboard'!$E$4:$E$6</f>
            </numRef>
          </cat>
          <val>
            <numRef>
              <f>'Summary Dashboard'!$F$4:$F$6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21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35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3" customWidth="1" min="2" max="2"/>
    <col width="20" customWidth="1" min="3" max="3"/>
    <col width="15" customWidth="1" min="4" max="4"/>
    <col width="20" customWidth="1" min="5" max="5"/>
    <col width="18" customWidth="1" min="6" max="6"/>
    <col width="18" customWidth="1" min="7" max="7"/>
    <col width="28" customWidth="1" min="8" max="8"/>
    <col width="14" customWidth="1" min="9" max="9"/>
    <col width="16" customWidth="1" min="10" max="10"/>
    <col width="12" customWidth="1" min="11" max="11"/>
    <col width="18" customWidth="1" min="12" max="12"/>
    <col width="15" customWidth="1" min="13" max="13"/>
    <col width="16" customWidth="1" min="14" max="14"/>
    <col width="14" customWidth="1" min="15" max="15"/>
    <col width="16" customWidth="1" min="16" max="16"/>
    <col width="16" customWidth="1" min="17" max="17"/>
    <col width="14" customWidth="1" min="18" max="18"/>
  </cols>
  <sheetData>
    <row r="1" ht="28" customHeight="1">
      <c r="A1" s="1" t="inlineStr">
        <is>
          <t>Claim ID</t>
        </is>
      </c>
      <c r="B1" s="1" t="inlineStr">
        <is>
          <t>Claim Date</t>
        </is>
      </c>
      <c r="C1" s="1" t="inlineStr">
        <is>
          <t>Employee / Claimant</t>
        </is>
      </c>
      <c r="D1" s="1" t="inlineStr">
        <is>
          <t>Department</t>
        </is>
      </c>
      <c r="E1" s="1" t="inlineStr">
        <is>
          <t>Job / Client</t>
        </is>
      </c>
      <c r="F1" s="1" t="inlineStr">
        <is>
          <t>Start Location</t>
        </is>
      </c>
      <c r="G1" s="1" t="inlineStr">
        <is>
          <t>End Location</t>
        </is>
      </c>
      <c r="H1" s="1" t="inlineStr">
        <is>
          <t>Purpose of Journey</t>
        </is>
      </c>
      <c r="I1" s="1" t="inlineStr">
        <is>
          <t>Vehicle Type</t>
        </is>
      </c>
      <c r="J1" s="1" t="inlineStr">
        <is>
          <t>Mileage Band</t>
        </is>
      </c>
      <c r="K1" s="1" t="inlineStr">
        <is>
          <t>Miles Driven</t>
        </is>
      </c>
      <c r="L1" s="1" t="inlineStr">
        <is>
          <t>HMRC Rate (£ per mile)</t>
        </is>
      </c>
      <c r="M1" s="1" t="inlineStr">
        <is>
          <t>Claim Amount (£)</t>
        </is>
      </c>
      <c r="N1" s="1" t="inlineStr">
        <is>
          <t>Parking / Tolls (£)</t>
        </is>
      </c>
      <c r="O1" s="1" t="inlineStr">
        <is>
          <t>Total Claim (£)</t>
        </is>
      </c>
      <c r="P1" s="1" t="inlineStr">
        <is>
          <t>Approval Status</t>
        </is>
      </c>
      <c r="Q1" s="1" t="inlineStr">
        <is>
          <t>Manager</t>
        </is>
      </c>
      <c r="R1" s="1" t="inlineStr">
        <is>
          <t>Approved Date</t>
        </is>
      </c>
    </row>
    <row r="2">
      <c r="A2" s="2" t="inlineStr">
        <is>
          <t>MC-001</t>
        </is>
      </c>
      <c r="B2" s="47" t="n">
        <v>46029</v>
      </c>
      <c r="C2" s="4" t="inlineStr">
        <is>
          <t>Oliver Bennett</t>
        </is>
      </c>
      <c r="D2" s="4" t="inlineStr">
        <is>
          <t>Sales</t>
        </is>
      </c>
      <c r="E2" s="4" t="inlineStr">
        <is>
          <t>Acme Ltd</t>
        </is>
      </c>
      <c r="F2" s="4" t="inlineStr">
        <is>
          <t>London</t>
        </is>
      </c>
      <c r="G2" s="4" t="inlineStr">
        <is>
          <t>Manchester</t>
        </is>
      </c>
      <c r="H2" s="4" t="inlineStr">
        <is>
          <t>Client meeting – Acme Ltd annual review</t>
        </is>
      </c>
      <c r="I2" s="2" t="inlineStr">
        <is>
          <t>Car</t>
        </is>
      </c>
      <c r="J2" s="2" t="inlineStr">
        <is>
          <t>Up to 10,000 miles</t>
        </is>
      </c>
      <c r="K2" s="5" t="n">
        <v>212</v>
      </c>
      <c r="L2" s="48">
        <f>IFERROR(VLOOKUP(J2,'HMRC Rates'!A:B,2,FALSE),0)</f>
        <v/>
      </c>
      <c r="M2" s="7">
        <f>IFERROR(K2*L2,0)</f>
        <v/>
      </c>
      <c r="N2" s="8" t="n">
        <v>15</v>
      </c>
      <c r="O2" s="7">
        <f>IFERROR(M2+N2,0)</f>
        <v/>
      </c>
      <c r="P2" s="2" t="inlineStr">
        <is>
          <t>Approved</t>
        </is>
      </c>
      <c r="Q2" s="2" t="inlineStr">
        <is>
          <t>Sarah Hughes</t>
        </is>
      </c>
      <c r="R2" s="47" t="n">
        <v>46030</v>
      </c>
    </row>
    <row r="3">
      <c r="A3" s="2" t="inlineStr">
        <is>
          <t>MC-002</t>
        </is>
      </c>
      <c r="B3" s="49" t="n">
        <v>46036</v>
      </c>
      <c r="C3" s="4" t="inlineStr">
        <is>
          <t>Amelia Clarke</t>
        </is>
      </c>
      <c r="D3" s="4" t="inlineStr">
        <is>
          <t>Finance</t>
        </is>
      </c>
      <c r="E3" s="4" t="inlineStr">
        <is>
          <t>Internal</t>
        </is>
      </c>
      <c r="F3" s="4" t="inlineStr">
        <is>
          <t>Birmingham</t>
        </is>
      </c>
      <c r="G3" s="4" t="inlineStr">
        <is>
          <t>Leeds</t>
        </is>
      </c>
      <c r="H3" s="4" t="inlineStr">
        <is>
          <t>Finance team quarterly planning session</t>
        </is>
      </c>
      <c r="I3" s="2" t="inlineStr">
        <is>
          <t>Car</t>
        </is>
      </c>
      <c r="J3" s="2" t="inlineStr">
        <is>
          <t>Up to 10,000 miles</t>
        </is>
      </c>
      <c r="K3" s="5" t="n">
        <v>119</v>
      </c>
      <c r="L3" s="50">
        <f>IFERROR(VLOOKUP(J3,'HMRC Rates'!A:B,2,FALSE),0)</f>
        <v/>
      </c>
      <c r="M3" s="11">
        <f>IFERROR(K3*L3,0)</f>
        <v/>
      </c>
      <c r="N3" s="8" t="n">
        <v>0</v>
      </c>
      <c r="O3" s="11">
        <f>IFERROR(M3+N3,0)</f>
        <v/>
      </c>
      <c r="P3" s="2" t="inlineStr">
        <is>
          <t>Approved</t>
        </is>
      </c>
      <c r="Q3" s="2" t="inlineStr">
        <is>
          <t>James Morton</t>
        </is>
      </c>
      <c r="R3" s="49" t="n">
        <v>46037</v>
      </c>
    </row>
    <row r="4">
      <c r="A4" s="2" t="inlineStr">
        <is>
          <t>MC-003</t>
        </is>
      </c>
      <c r="B4" s="47" t="n">
        <v>46043</v>
      </c>
      <c r="C4" s="4" t="inlineStr">
        <is>
          <t>Harry Wilson</t>
        </is>
      </c>
      <c r="D4" s="4" t="inlineStr">
        <is>
          <t>Operations</t>
        </is>
      </c>
      <c r="E4" s="4" t="inlineStr">
        <is>
          <t>BuildRight Co</t>
        </is>
      </c>
      <c r="F4" s="4" t="inlineStr">
        <is>
          <t>Bristol</t>
        </is>
      </c>
      <c r="G4" s="4" t="inlineStr">
        <is>
          <t>London</t>
        </is>
      </c>
      <c r="H4" s="4" t="inlineStr">
        <is>
          <t>Site inspection – BuildRight Co project</t>
        </is>
      </c>
      <c r="I4" s="2" t="inlineStr">
        <is>
          <t>Car</t>
        </is>
      </c>
      <c r="J4" s="2" t="inlineStr">
        <is>
          <t>Up to 10,000 miles</t>
        </is>
      </c>
      <c r="K4" s="5" t="n">
        <v>122</v>
      </c>
      <c r="L4" s="48">
        <f>IFERROR(VLOOKUP(J4,'HMRC Rates'!A:B,2,FALSE),0)</f>
        <v/>
      </c>
      <c r="M4" s="7">
        <f>IFERROR(K4*L4,0)</f>
        <v/>
      </c>
      <c r="N4" s="8" t="n">
        <v>12.5</v>
      </c>
      <c r="O4" s="7">
        <f>IFERROR(M4+N4,0)</f>
        <v/>
      </c>
      <c r="P4" s="2" t="inlineStr">
        <is>
          <t>Approved</t>
        </is>
      </c>
      <c r="Q4" s="2" t="inlineStr">
        <is>
          <t>Sarah Hughes</t>
        </is>
      </c>
      <c r="R4" s="47" t="n">
        <v>46044</v>
      </c>
    </row>
    <row r="5">
      <c r="A5" s="2" t="inlineStr">
        <is>
          <t>MC-004</t>
        </is>
      </c>
      <c r="B5" s="49" t="n">
        <v>46056</v>
      </c>
      <c r="C5" s="4" t="inlineStr">
        <is>
          <t>Sophie Turner</t>
        </is>
      </c>
      <c r="D5" s="4" t="inlineStr">
        <is>
          <t>HR</t>
        </is>
      </c>
      <c r="E5" s="4" t="inlineStr">
        <is>
          <t>Internal</t>
        </is>
      </c>
      <c r="F5" s="4" t="inlineStr">
        <is>
          <t>Manchester</t>
        </is>
      </c>
      <c r="G5" s="4" t="inlineStr">
        <is>
          <t>Sheffield</t>
        </is>
      </c>
      <c r="H5" s="4" t="inlineStr">
        <is>
          <t>HR compliance training day</t>
        </is>
      </c>
      <c r="I5" s="2" t="inlineStr">
        <is>
          <t>Car</t>
        </is>
      </c>
      <c r="J5" s="2" t="inlineStr">
        <is>
          <t>Up to 10,000 miles</t>
        </is>
      </c>
      <c r="K5" s="5" t="n">
        <v>38</v>
      </c>
      <c r="L5" s="50">
        <f>IFERROR(VLOOKUP(J5,'HMRC Rates'!A:B,2,FALSE),0)</f>
        <v/>
      </c>
      <c r="M5" s="11">
        <f>IFERROR(K5*L5,0)</f>
        <v/>
      </c>
      <c r="N5" s="8" t="n">
        <v>0</v>
      </c>
      <c r="O5" s="11">
        <f>IFERROR(M5+N5,0)</f>
        <v/>
      </c>
      <c r="P5" s="2" t="inlineStr">
        <is>
          <t>Pending</t>
        </is>
      </c>
      <c r="Q5" s="2" t="inlineStr">
        <is>
          <t>James Morton</t>
        </is>
      </c>
      <c r="R5" s="12" t="inlineStr"/>
    </row>
    <row r="6">
      <c r="A6" s="2" t="inlineStr">
        <is>
          <t>MC-005</t>
        </is>
      </c>
      <c r="B6" s="47" t="n">
        <v>46063</v>
      </c>
      <c r="C6" s="4" t="inlineStr">
        <is>
          <t>Jack Davies</t>
        </is>
      </c>
      <c r="D6" s="4" t="inlineStr">
        <is>
          <t>Sales</t>
        </is>
      </c>
      <c r="E6" s="4" t="inlineStr">
        <is>
          <t>NorthStar Group</t>
        </is>
      </c>
      <c r="F6" s="4" t="inlineStr">
        <is>
          <t>Leeds</t>
        </is>
      </c>
      <c r="G6" s="4" t="inlineStr">
        <is>
          <t>Edinburgh</t>
        </is>
      </c>
      <c r="H6" s="4" t="inlineStr">
        <is>
          <t>New business pitch – NorthStar Group</t>
        </is>
      </c>
      <c r="I6" s="2" t="inlineStr">
        <is>
          <t>Car</t>
        </is>
      </c>
      <c r="J6" s="2" t="inlineStr">
        <is>
          <t>Up to 10,000 miles</t>
        </is>
      </c>
      <c r="K6" s="5" t="n">
        <v>218</v>
      </c>
      <c r="L6" s="48">
        <f>IFERROR(VLOOKUP(J6,'HMRC Rates'!A:B,2,FALSE),0)</f>
        <v/>
      </c>
      <c r="M6" s="7">
        <f>IFERROR(K6*L6,0)</f>
        <v/>
      </c>
      <c r="N6" s="8" t="n">
        <v>25</v>
      </c>
      <c r="O6" s="7">
        <f>IFERROR(M6+N6,0)</f>
        <v/>
      </c>
      <c r="P6" s="2" t="inlineStr">
        <is>
          <t>Approved</t>
        </is>
      </c>
      <c r="Q6" s="2" t="inlineStr">
        <is>
          <t>Sarah Hughes</t>
        </is>
      </c>
      <c r="R6" s="47" t="n">
        <v>46064</v>
      </c>
    </row>
    <row r="7">
      <c r="A7" s="2" t="inlineStr">
        <is>
          <t>MC-006</t>
        </is>
      </c>
      <c r="B7" s="49" t="n">
        <v>46071</v>
      </c>
      <c r="C7" s="4" t="inlineStr">
        <is>
          <t>Emily Johnson</t>
        </is>
      </c>
      <c r="D7" s="4" t="inlineStr">
        <is>
          <t>Marketing</t>
        </is>
      </c>
      <c r="E7" s="4" t="inlineStr">
        <is>
          <t>BrandWave</t>
        </is>
      </c>
      <c r="F7" s="4" t="inlineStr">
        <is>
          <t>London</t>
        </is>
      </c>
      <c r="G7" s="4" t="inlineStr">
        <is>
          <t>Birmingham</t>
        </is>
      </c>
      <c r="H7" s="4" t="inlineStr">
        <is>
          <t>Brand strategy workshop – BrandWave</t>
        </is>
      </c>
      <c r="I7" s="2" t="inlineStr">
        <is>
          <t>Car</t>
        </is>
      </c>
      <c r="J7" s="2" t="inlineStr">
        <is>
          <t>Up to 10,000 miles</t>
        </is>
      </c>
      <c r="K7" s="5" t="n">
        <v>126</v>
      </c>
      <c r="L7" s="50">
        <f>IFERROR(VLOOKUP(J7,'HMRC Rates'!A:B,2,FALSE),0)</f>
        <v/>
      </c>
      <c r="M7" s="11">
        <f>IFERROR(K7*L7,0)</f>
        <v/>
      </c>
      <c r="N7" s="8" t="n">
        <v>8</v>
      </c>
      <c r="O7" s="11">
        <f>IFERROR(M7+N7,0)</f>
        <v/>
      </c>
      <c r="P7" s="2" t="inlineStr">
        <is>
          <t>Pending</t>
        </is>
      </c>
      <c r="Q7" s="2" t="inlineStr">
        <is>
          <t>James Morton</t>
        </is>
      </c>
      <c r="R7" s="12" t="inlineStr"/>
    </row>
    <row r="8">
      <c r="A8" s="2" t="inlineStr">
        <is>
          <t>MC-007</t>
        </is>
      </c>
      <c r="B8" s="47" t="n">
        <v>46085</v>
      </c>
      <c r="C8" s="4" t="inlineStr">
        <is>
          <t>George Patel</t>
        </is>
      </c>
      <c r="D8" s="4" t="inlineStr">
        <is>
          <t>IT</t>
        </is>
      </c>
      <c r="E8" s="4" t="inlineStr">
        <is>
          <t>TechCore Ltd</t>
        </is>
      </c>
      <c r="F8" s="4" t="inlineStr">
        <is>
          <t>Glasgow</t>
        </is>
      </c>
      <c r="G8" s="4" t="inlineStr">
        <is>
          <t>Edinburgh</t>
        </is>
      </c>
      <c r="H8" s="4" t="inlineStr">
        <is>
          <t>IT infrastructure audit – TechCore Ltd</t>
        </is>
      </c>
      <c r="I8" s="2" t="inlineStr">
        <is>
          <t>Car</t>
        </is>
      </c>
      <c r="J8" s="2" t="inlineStr">
        <is>
          <t>Up to 10,000 miles</t>
        </is>
      </c>
      <c r="K8" s="5" t="n">
        <v>46</v>
      </c>
      <c r="L8" s="48">
        <f>IFERROR(VLOOKUP(J8,'HMRC Rates'!A:B,2,FALSE),0)</f>
        <v/>
      </c>
      <c r="M8" s="7">
        <f>IFERROR(K8*L8,0)</f>
        <v/>
      </c>
      <c r="N8" s="8" t="n">
        <v>0</v>
      </c>
      <c r="O8" s="7">
        <f>IFERROR(M8+N8,0)</f>
        <v/>
      </c>
      <c r="P8" s="2" t="inlineStr">
        <is>
          <t>Rejected</t>
        </is>
      </c>
      <c r="Q8" s="2" t="inlineStr">
        <is>
          <t>Sarah Hughes</t>
        </is>
      </c>
      <c r="R8" s="13" t="inlineStr"/>
    </row>
    <row r="9">
      <c r="A9" s="2" t="inlineStr">
        <is>
          <t>MC-008</t>
        </is>
      </c>
      <c r="B9" s="49" t="n">
        <v>46092</v>
      </c>
      <c r="C9" s="4" t="inlineStr">
        <is>
          <t>Isla Robinson</t>
        </is>
      </c>
      <c r="D9" s="4" t="inlineStr">
        <is>
          <t>Sales</t>
        </is>
      </c>
      <c r="E9" s="4" t="inlineStr">
        <is>
          <t>Vertex Solutions</t>
        </is>
      </c>
      <c r="F9" s="4" t="inlineStr">
        <is>
          <t>Manchester</t>
        </is>
      </c>
      <c r="G9" s="4" t="inlineStr">
        <is>
          <t>Liverpool</t>
        </is>
      </c>
      <c r="H9" s="4" t="inlineStr">
        <is>
          <t>Sales follow-up – Vertex Solutions</t>
        </is>
      </c>
      <c r="I9" s="2" t="inlineStr">
        <is>
          <t>Car</t>
        </is>
      </c>
      <c r="J9" s="2" t="inlineStr">
        <is>
          <t>Up to 10,000 miles</t>
        </is>
      </c>
      <c r="K9" s="5" t="n">
        <v>35</v>
      </c>
      <c r="L9" s="50">
        <f>IFERROR(VLOOKUP(J9,'HMRC Rates'!A:B,2,FALSE),0)</f>
        <v/>
      </c>
      <c r="M9" s="11">
        <f>IFERROR(K9*L9,0)</f>
        <v/>
      </c>
      <c r="N9" s="8" t="n">
        <v>4.5</v>
      </c>
      <c r="O9" s="11">
        <f>IFERROR(M9+N9,0)</f>
        <v/>
      </c>
      <c r="P9" s="2" t="inlineStr">
        <is>
          <t>Approved</t>
        </is>
      </c>
      <c r="Q9" s="2" t="inlineStr">
        <is>
          <t>James Morton</t>
        </is>
      </c>
      <c r="R9" s="49" t="n">
        <v>46093</v>
      </c>
    </row>
    <row r="10">
      <c r="A10" s="2" t="inlineStr">
        <is>
          <t>MC-009</t>
        </is>
      </c>
      <c r="B10" s="47" t="n">
        <v>46100</v>
      </c>
      <c r="C10" s="4" t="inlineStr">
        <is>
          <t>Charlie Adams</t>
        </is>
      </c>
      <c r="D10" s="4" t="inlineStr">
        <is>
          <t>Operations</t>
        </is>
      </c>
      <c r="E10" s="4" t="inlineStr">
        <is>
          <t>GreenBuild UK</t>
        </is>
      </c>
      <c r="F10" s="4" t="inlineStr">
        <is>
          <t>Cardiff</t>
        </is>
      </c>
      <c r="G10" s="4" t="inlineStr">
        <is>
          <t>Bristol</t>
        </is>
      </c>
      <c r="H10" s="4" t="inlineStr">
        <is>
          <t>Supplier review meeting – GreenBuild UK</t>
        </is>
      </c>
      <c r="I10" s="2" t="inlineStr">
        <is>
          <t>Car</t>
        </is>
      </c>
      <c r="J10" s="2" t="inlineStr">
        <is>
          <t>Up to 10,000 miles</t>
        </is>
      </c>
      <c r="K10" s="5" t="n">
        <v>48</v>
      </c>
      <c r="L10" s="48">
        <f>IFERROR(VLOOKUP(J10,'HMRC Rates'!A:B,2,FALSE),0)</f>
        <v/>
      </c>
      <c r="M10" s="7">
        <f>IFERROR(K10*L10,0)</f>
        <v/>
      </c>
      <c r="N10" s="8" t="n">
        <v>0</v>
      </c>
      <c r="O10" s="7">
        <f>IFERROR(M10+N10,0)</f>
        <v/>
      </c>
      <c r="P10" s="2" t="inlineStr">
        <is>
          <t>Pending</t>
        </is>
      </c>
      <c r="Q10" s="2" t="inlineStr">
        <is>
          <t>Sarah Hughes</t>
        </is>
      </c>
      <c r="R10" s="13" t="inlineStr"/>
    </row>
    <row r="11">
      <c r="A11" s="2" t="inlineStr">
        <is>
          <t>MC-010</t>
        </is>
      </c>
      <c r="B11" s="49" t="n">
        <v>46107</v>
      </c>
      <c r="C11" s="4" t="inlineStr">
        <is>
          <t>Grace Stewart</t>
        </is>
      </c>
      <c r="D11" s="4" t="inlineStr">
        <is>
          <t>Finance</t>
        </is>
      </c>
      <c r="E11" s="4" t="inlineStr">
        <is>
          <t>Internal</t>
        </is>
      </c>
      <c r="F11" s="4" t="inlineStr">
        <is>
          <t>Birmingham</t>
        </is>
      </c>
      <c r="G11" s="4" t="inlineStr">
        <is>
          <t>London</t>
        </is>
      </c>
      <c r="H11" s="4" t="inlineStr">
        <is>
          <t>Year-end finance debrief at head office</t>
        </is>
      </c>
      <c r="I11" s="2" t="inlineStr">
        <is>
          <t>Car</t>
        </is>
      </c>
      <c r="J11" s="2" t="inlineStr">
        <is>
          <t>Over 10,000 miles</t>
        </is>
      </c>
      <c r="K11" s="5" t="n">
        <v>126</v>
      </c>
      <c r="L11" s="50">
        <f>IFERROR(VLOOKUP(J11,'HMRC Rates'!A:B,2,FALSE),0)</f>
        <v/>
      </c>
      <c r="M11" s="11">
        <f>IFERROR(K11*L11,0)</f>
        <v/>
      </c>
      <c r="N11" s="8" t="n">
        <v>18</v>
      </c>
      <c r="O11" s="11">
        <f>IFERROR(M11+N11,0)</f>
        <v/>
      </c>
      <c r="P11" s="2" t="inlineStr">
        <is>
          <t>Approved</t>
        </is>
      </c>
      <c r="Q11" s="2" t="inlineStr">
        <is>
          <t>James Morton</t>
        </is>
      </c>
      <c r="R11" s="49" t="n">
        <v>46108</v>
      </c>
    </row>
    <row r="12" ht="22" customHeight="1">
      <c r="A12" s="14" t="inlineStr">
        <is>
          <t>TOTALS</t>
        </is>
      </c>
      <c r="B12" s="15" t="n"/>
      <c r="C12" s="15" t="n"/>
      <c r="D12" s="15" t="n"/>
      <c r="E12" s="15" t="n"/>
      <c r="F12" s="15" t="n"/>
      <c r="G12" s="15" t="n"/>
      <c r="H12" s="15" t="n"/>
      <c r="I12" s="15" t="n"/>
      <c r="J12" s="15" t="n"/>
      <c r="K12" s="16">
        <f>SUM(K2:K11)</f>
        <v/>
      </c>
      <c r="L12" s="15" t="n"/>
      <c r="M12" s="17">
        <f>SUM(M2:M11)</f>
        <v/>
      </c>
      <c r="N12" s="17">
        <f>SUM(N2:N11)</f>
        <v/>
      </c>
      <c r="O12" s="17">
        <f>SUM(O2:O11)</f>
        <v/>
      </c>
      <c r="P12" s="15" t="n"/>
      <c r="Q12" s="15" t="n"/>
      <c r="R12" s="15" t="n"/>
    </row>
    <row r="13">
      <c r="A13" s="18" t="inlineStr">
        <is>
          <t>AVERAGE</t>
        </is>
      </c>
      <c r="K13" s="16">
        <f>IFERROR(AVERAGE(K2:K11),0)</f>
        <v/>
      </c>
      <c r="M13" s="17">
        <f>IFERROR(AVERAGE(M2:M11),0)</f>
        <v/>
      </c>
      <c r="O13" s="17">
        <f>IFERROR(AVERAGE(O2:O11),0)</f>
        <v/>
      </c>
    </row>
    <row r="14">
      <c r="A14" s="19" t="inlineStr">
        <is>
          <t>Approved Count</t>
        </is>
      </c>
      <c r="B14" s="20">
        <f>COUNTIF(P2:P11,"Approved")</f>
        <v/>
      </c>
    </row>
    <row r="15">
      <c r="A15" s="19" t="inlineStr">
        <is>
          <t>Pending Count</t>
        </is>
      </c>
      <c r="B15" s="20">
        <f>COUNTIF(P2:P11,"Pending")</f>
        <v/>
      </c>
    </row>
    <row r="16">
      <c r="A16" s="19" t="inlineStr">
        <is>
          <t>Rejected Count</t>
        </is>
      </c>
      <c r="B16" s="20">
        <f>COUNTIF(P2:P11,"Rejected")</f>
        <v/>
      </c>
    </row>
  </sheetData>
  <autoFilter ref="A1:R1"/>
  <conditionalFormatting sqref="P2:P11">
    <cfRule type="expression" priority="1" dxfId="0" stopIfTrue="1">
      <formula>P2="Approved"</formula>
    </cfRule>
    <cfRule type="expression" priority="2" dxfId="1" stopIfTrue="1">
      <formula>P2="Pending"</formula>
    </cfRule>
    <cfRule type="expression" priority="3" dxfId="2" stopIfTrue="1">
      <formula>P2="Rejected"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60" customWidth="1" min="3" max="3"/>
  </cols>
  <sheetData>
    <row r="1" ht="26" customHeight="1">
      <c r="A1" s="21" t="inlineStr">
        <is>
          <t>Mileage Band</t>
        </is>
      </c>
      <c r="B1" s="21" t="inlineStr">
        <is>
          <t>HMRC Rate (£ per mile)</t>
        </is>
      </c>
      <c r="C1" s="21" t="inlineStr">
        <is>
          <t>Rule / Notes</t>
        </is>
      </c>
    </row>
    <row r="2">
      <c r="A2" s="22" t="inlineStr">
        <is>
          <t>Up to 10,000 miles</t>
        </is>
      </c>
      <c r="B2" s="48" t="n">
        <v>0.45</v>
      </c>
      <c r="C2" s="13" t="inlineStr">
        <is>
          <t>HMRC Approved Mileage Rate for cars – first 10,000 business miles in tax year</t>
        </is>
      </c>
    </row>
    <row r="3">
      <c r="A3" s="23" t="inlineStr">
        <is>
          <t>Over 10,000 miles</t>
        </is>
      </c>
      <c r="B3" s="50" t="n">
        <v>0.25</v>
      </c>
      <c r="C3" s="12" t="inlineStr">
        <is>
          <t>HMRC Approved Mileage Rate for cars – beyond 10,000 business miles in tax year</t>
        </is>
      </c>
    </row>
    <row r="4">
      <c r="A4" s="22" t="inlineStr">
        <is>
          <t>Motorcycle</t>
        </is>
      </c>
      <c r="B4" s="48" t="n">
        <v>0.24</v>
      </c>
      <c r="C4" s="13" t="inlineStr">
        <is>
          <t>HMRC Approved Mileage Rate for motorcycles – all business miles</t>
        </is>
      </c>
    </row>
    <row r="5">
      <c r="A5" s="23" t="inlineStr">
        <is>
          <t>Bicycle</t>
        </is>
      </c>
      <c r="B5" s="50" t="n">
        <v>0.2</v>
      </c>
      <c r="C5" s="12" t="inlineStr">
        <is>
          <t>HMRC Approved Mileage Rate for bicycles – all business miles</t>
        </is>
      </c>
    </row>
    <row r="6">
      <c r="A6" s="22" t="inlineStr">
        <is>
          <t>Passenger Supplement</t>
        </is>
      </c>
      <c r="B6" s="48" t="n">
        <v>0.05</v>
      </c>
      <c r="C6" s="13" t="inlineStr">
        <is>
          <t>Additional rate per passenger carried on same business journey</t>
        </is>
      </c>
    </row>
    <row r="7"/>
    <row r="8">
      <c r="A8" s="24" t="inlineStr">
        <is>
          <t>Tax Year Reminder</t>
        </is>
      </c>
      <c r="B8" s="25" t="inlineStr">
        <is>
          <t>6 April – 5 April</t>
        </is>
      </c>
      <c r="C8" s="26" t="inlineStr">
        <is>
          <t>The HMRC mileage year runs from 6 April to 5 April. Reset cumulative mileage at start of each tax year.</t>
        </is>
      </c>
    </row>
    <row r="9"/>
    <row r="10">
      <c r="A10" s="27" t="inlineStr">
        <is>
          <t>Band Counts from Claims Sheet</t>
        </is>
      </c>
    </row>
    <row r="11">
      <c r="A11" s="12" t="inlineStr">
        <is>
          <t>Up to 10,000 miles – Claims Count</t>
        </is>
      </c>
      <c r="B11" s="20">
        <f>IFERROR(COUNTIF('Mileage Claims'!J:J,"Up to 10,000 miles"),0)</f>
        <v/>
      </c>
    </row>
    <row r="12">
      <c r="A12" s="12" t="inlineStr">
        <is>
          <t>Over 10,000 miles – Claims Count</t>
        </is>
      </c>
      <c r="B12" s="20">
        <f>IFERROR(COUNTIF('Mileage Claims'!J:J,"Over 10,000 miles"),0)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  <col width="18" customWidth="1" min="5" max="5"/>
    <col width="18" customWidth="1" min="6" max="6"/>
  </cols>
  <sheetData>
    <row r="1" ht="32" customHeight="1">
      <c r="A1" s="28" t="inlineStr">
        <is>
          <t>Mileage Claims – Summary Dashboard</t>
        </is>
      </c>
      <c r="B1" s="29" t="n"/>
      <c r="C1" s="29" t="n"/>
      <c r="D1" s="29" t="n"/>
      <c r="E1" s="29" t="n"/>
      <c r="F1" s="30" t="n"/>
    </row>
    <row r="2"/>
    <row r="3">
      <c r="A3" s="27" t="inlineStr">
        <is>
          <t>Total Business Miles</t>
        </is>
      </c>
      <c r="B3" s="31">
        <f>IFERROR(SUM('Mileage Claims'!K2:K11),0)</f>
        <v/>
      </c>
      <c r="E3" s="32" t="inlineStr">
        <is>
          <t>Status</t>
        </is>
      </c>
      <c r="F3" s="32" t="inlineStr">
        <is>
          <t>Count</t>
        </is>
      </c>
    </row>
    <row r="4">
      <c r="A4" s="27" t="inlineStr">
        <is>
          <t>Total Claim Value (£)</t>
        </is>
      </c>
      <c r="B4" s="33">
        <f>IFERROR(SUM('Mileage Claims'!O2:O11),0)</f>
        <v/>
      </c>
      <c r="E4" s="23" t="inlineStr">
        <is>
          <t>Approved</t>
        </is>
      </c>
      <c r="F4" s="23">
        <f>IFERROR(COUNTIF('Mileage Claims'!P2:P11,"Approved"),0)</f>
        <v/>
      </c>
    </row>
    <row r="5">
      <c r="A5" s="27" t="inlineStr">
        <is>
          <t>Average Claim Value (£)</t>
        </is>
      </c>
      <c r="B5" s="33">
        <f>IFERROR(AVERAGE('Mileage Claims'!O2:O11),0)</f>
        <v/>
      </c>
      <c r="E5" s="23" t="inlineStr">
        <is>
          <t>Pending</t>
        </is>
      </c>
      <c r="F5" s="23">
        <f>IFERROR(COUNTIF('Mileage Claims'!P2:P11,"Pending"),0)</f>
        <v/>
      </c>
    </row>
    <row r="6">
      <c r="A6" s="27" t="inlineStr">
        <is>
          <t>Highest Single Claim (£)</t>
        </is>
      </c>
      <c r="B6" s="33">
        <f>IFERROR(MAX('Mileage Claims'!O2:O11),0)</f>
        <v/>
      </c>
      <c r="E6" s="23" t="inlineStr">
        <is>
          <t>Rejected</t>
        </is>
      </c>
      <c r="F6" s="23">
        <f>IFERROR(COUNTIF('Mileage Claims'!P2:P11,"Rejected"),0)</f>
        <v/>
      </c>
    </row>
    <row r="7">
      <c r="A7" s="27" t="inlineStr">
        <is>
          <t>Approved Claims</t>
        </is>
      </c>
      <c r="B7" s="34">
        <f>IFERROR(COUNTIF('Mileage Claims'!P2:P11,"Approved"),0)</f>
        <v/>
      </c>
    </row>
    <row r="8">
      <c r="A8" s="27" t="inlineStr">
        <is>
          <t>Pending Claims</t>
        </is>
      </c>
      <c r="B8" s="31">
        <f>IFERROR(COUNTIF('Mileage Claims'!P2:P11,"Pending"),0)</f>
        <v/>
      </c>
    </row>
    <row r="9">
      <c r="A9" s="27" t="inlineStr">
        <is>
          <t>Rejected Claims</t>
        </is>
      </c>
      <c r="B9" s="31">
        <f>IFERROR(COUNTIF('Mileage Claims'!P2:P11,"Rejected"),0)</f>
        <v/>
      </c>
    </row>
    <row r="10">
      <c r="A10" s="27" t="inlineStr">
        <is>
          <t>% Claims Approved</t>
        </is>
      </c>
      <c r="B10" s="51">
        <f>IFERROR(COUNTIF('Mileage Claims'!P2:P11,"Approved")/COUNTA('Mileage Claims'!P2:P11),0)</f>
        <v/>
      </c>
    </row>
    <row r="11"/>
    <row r="12">
      <c r="A12" s="36" t="inlineStr">
        <is>
          <t>Claims by Employee</t>
        </is>
      </c>
      <c r="B12" s="29" t="n"/>
      <c r="C12" s="30" t="n"/>
    </row>
    <row r="13">
      <c r="A13" s="32" t="inlineStr">
        <is>
          <t>Employee</t>
        </is>
      </c>
      <c r="B13" s="32" t="inlineStr">
        <is>
          <t>Total Miles</t>
        </is>
      </c>
      <c r="C13" s="32" t="inlineStr">
        <is>
          <t>Total Claim (£)</t>
        </is>
      </c>
    </row>
    <row r="14">
      <c r="A14" s="12" t="inlineStr">
        <is>
          <t>Oliver Bennett</t>
        </is>
      </c>
      <c r="B14" s="37">
        <f>IFERROR(SUMIF('Mileage Claims'!C:C,"Oliver Bennett",'Mileage Claims'!K:K),0)</f>
        <v/>
      </c>
      <c r="C14" s="11">
        <f>IFERROR(SUMIF('Mileage Claims'!C:C,"Oliver Bennett",'Mileage Claims'!O:O),0)</f>
        <v/>
      </c>
    </row>
    <row r="15">
      <c r="A15" s="13" t="inlineStr">
        <is>
          <t>Amelia Clarke</t>
        </is>
      </c>
      <c r="B15" s="38">
        <f>IFERROR(SUMIF('Mileage Claims'!C:C,"Amelia Clarke",'Mileage Claims'!K:K),0)</f>
        <v/>
      </c>
      <c r="C15" s="7">
        <f>IFERROR(SUMIF('Mileage Claims'!C:C,"Amelia Clarke",'Mileage Claims'!O:O),0)</f>
        <v/>
      </c>
    </row>
    <row r="16">
      <c r="A16" s="12" t="inlineStr">
        <is>
          <t>Harry Wilson</t>
        </is>
      </c>
      <c r="B16" s="37">
        <f>IFERROR(SUMIF('Mileage Claims'!C:C,"Harry Wilson",'Mileage Claims'!K:K),0)</f>
        <v/>
      </c>
      <c r="C16" s="11">
        <f>IFERROR(SUMIF('Mileage Claims'!C:C,"Harry Wilson",'Mileage Claims'!O:O),0)</f>
        <v/>
      </c>
    </row>
    <row r="17">
      <c r="A17" s="13" t="inlineStr">
        <is>
          <t>Sophie Turner</t>
        </is>
      </c>
      <c r="B17" s="38">
        <f>IFERROR(SUMIF('Mileage Claims'!C:C,"Sophie Turner",'Mileage Claims'!K:K),0)</f>
        <v/>
      </c>
      <c r="C17" s="7">
        <f>IFERROR(SUMIF('Mileage Claims'!C:C,"Sophie Turner",'Mileage Claims'!O:O),0)</f>
        <v/>
      </c>
    </row>
    <row r="18">
      <c r="A18" s="12" t="inlineStr">
        <is>
          <t>Jack Davies</t>
        </is>
      </c>
      <c r="B18" s="37">
        <f>IFERROR(SUMIF('Mileage Claims'!C:C,"Jack Davies",'Mileage Claims'!K:K),0)</f>
        <v/>
      </c>
      <c r="C18" s="11">
        <f>IFERROR(SUMIF('Mileage Claims'!C:C,"Jack Davies",'Mileage Claims'!O:O),0)</f>
        <v/>
      </c>
    </row>
    <row r="19">
      <c r="A19" s="13" t="inlineStr">
        <is>
          <t>Emily Johnson</t>
        </is>
      </c>
      <c r="B19" s="38">
        <f>IFERROR(SUMIF('Mileage Claims'!C:C,"Emily Johnson",'Mileage Claims'!K:K),0)</f>
        <v/>
      </c>
      <c r="C19" s="7">
        <f>IFERROR(SUMIF('Mileage Claims'!C:C,"Emily Johnson",'Mileage Claims'!O:O),0)</f>
        <v/>
      </c>
    </row>
    <row r="20">
      <c r="A20" s="12" t="inlineStr">
        <is>
          <t>George Patel</t>
        </is>
      </c>
      <c r="B20" s="37">
        <f>IFERROR(SUMIF('Mileage Claims'!C:C,"George Patel",'Mileage Claims'!K:K),0)</f>
        <v/>
      </c>
      <c r="C20" s="11">
        <f>IFERROR(SUMIF('Mileage Claims'!C:C,"George Patel",'Mileage Claims'!O:O),0)</f>
        <v/>
      </c>
    </row>
    <row r="21">
      <c r="A21" s="13" t="inlineStr">
        <is>
          <t>Isla Robinson</t>
        </is>
      </c>
      <c r="B21" s="38">
        <f>IFERROR(SUMIF('Mileage Claims'!C:C,"Isla Robinson",'Mileage Claims'!K:K),0)</f>
        <v/>
      </c>
      <c r="C21" s="7">
        <f>IFERROR(SUMIF('Mileage Claims'!C:C,"Isla Robinson",'Mileage Claims'!O:O),0)</f>
        <v/>
      </c>
    </row>
    <row r="22">
      <c r="A22" s="12" t="inlineStr">
        <is>
          <t>Charlie Adams</t>
        </is>
      </c>
      <c r="B22" s="37">
        <f>IFERROR(SUMIF('Mileage Claims'!C:C,"Charlie Adams",'Mileage Claims'!K:K),0)</f>
        <v/>
      </c>
      <c r="C22" s="11">
        <f>IFERROR(SUMIF('Mileage Claims'!C:C,"Charlie Adams",'Mileage Claims'!O:O),0)</f>
        <v/>
      </c>
    </row>
    <row r="23">
      <c r="A23" s="13" t="inlineStr">
        <is>
          <t>Grace Stewart</t>
        </is>
      </c>
      <c r="B23" s="38">
        <f>IFERROR(SUMIF('Mileage Claims'!C:C,"Grace Stewart",'Mileage Claims'!K:K),0)</f>
        <v/>
      </c>
      <c r="C23" s="7">
        <f>IFERROR(SUMIF('Mileage Claims'!C:C,"Grace Stewart",'Mileage Claims'!O:O),0)</f>
        <v/>
      </c>
    </row>
    <row r="24"/>
    <row r="25">
      <c r="A25" s="36" t="inlineStr">
        <is>
          <t>Mileage by Department</t>
        </is>
      </c>
      <c r="B25" s="29" t="n"/>
      <c r="C25" s="30" t="n"/>
    </row>
    <row r="26">
      <c r="A26" s="32" t="inlineStr">
        <is>
          <t>Department</t>
        </is>
      </c>
      <c r="B26" s="32" t="inlineStr">
        <is>
          <t>Total Miles</t>
        </is>
      </c>
      <c r="C26" s="32" t="inlineStr">
        <is>
          <t>Total Claim (£)</t>
        </is>
      </c>
    </row>
    <row r="27">
      <c r="A27" s="12" t="inlineStr">
        <is>
          <t>Sales</t>
        </is>
      </c>
      <c r="B27" s="37">
        <f>IFERROR(SUMIF('Mileage Claims'!D:D,"Sales",'Mileage Claims'!K:K),0)</f>
        <v/>
      </c>
      <c r="C27" s="11">
        <f>IFERROR(SUMIF('Mileage Claims'!D:D,"Sales",'Mileage Claims'!O:O),0)</f>
        <v/>
      </c>
    </row>
    <row r="28">
      <c r="A28" s="13" t="inlineStr">
        <is>
          <t>Finance</t>
        </is>
      </c>
      <c r="B28" s="38">
        <f>IFERROR(SUMIF('Mileage Claims'!D:D,"Finance",'Mileage Claims'!K:K),0)</f>
        <v/>
      </c>
      <c r="C28" s="7">
        <f>IFERROR(SUMIF('Mileage Claims'!D:D,"Finance",'Mileage Claims'!O:O),0)</f>
        <v/>
      </c>
    </row>
    <row r="29">
      <c r="A29" s="12" t="inlineStr">
        <is>
          <t>Operations</t>
        </is>
      </c>
      <c r="B29" s="37">
        <f>IFERROR(SUMIF('Mileage Claims'!D:D,"Operations",'Mileage Claims'!K:K),0)</f>
        <v/>
      </c>
      <c r="C29" s="11">
        <f>IFERROR(SUMIF('Mileage Claims'!D:D,"Operations",'Mileage Claims'!O:O),0)</f>
        <v/>
      </c>
    </row>
    <row r="30">
      <c r="A30" s="13" t="inlineStr">
        <is>
          <t>HR</t>
        </is>
      </c>
      <c r="B30" s="38">
        <f>IFERROR(SUMIF('Mileage Claims'!D:D,"HR",'Mileage Claims'!K:K),0)</f>
        <v/>
      </c>
      <c r="C30" s="7">
        <f>IFERROR(SUMIF('Mileage Claims'!D:D,"HR",'Mileage Claims'!O:O),0)</f>
        <v/>
      </c>
    </row>
    <row r="31">
      <c r="A31" s="12" t="inlineStr">
        <is>
          <t>Marketing</t>
        </is>
      </c>
      <c r="B31" s="37">
        <f>IFERROR(SUMIF('Mileage Claims'!D:D,"Marketing",'Mileage Claims'!K:K),0)</f>
        <v/>
      </c>
      <c r="C31" s="11">
        <f>IFERROR(SUMIF('Mileage Claims'!D:D,"Marketing",'Mileage Claims'!O:O),0)</f>
        <v/>
      </c>
    </row>
    <row r="32">
      <c r="A32" s="13" t="inlineStr">
        <is>
          <t>IT</t>
        </is>
      </c>
      <c r="B32" s="38">
        <f>IFERROR(SUMIF('Mileage Claims'!D:D,"IT",'Mileage Claims'!K:K),0)</f>
        <v/>
      </c>
      <c r="C32" s="7">
        <f>IFERROR(SUMIF('Mileage Claims'!D:D,"IT",'Mileage Claims'!O:O),0)</f>
        <v/>
      </c>
    </row>
  </sheetData>
  <mergeCells count="3">
    <mergeCell ref="A1:F1"/>
    <mergeCell ref="A12:C12"/>
    <mergeCell ref="A25:C2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5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0" customWidth="1" min="1" max="1"/>
    <col width="20" customWidth="1" min="2" max="2"/>
  </cols>
  <sheetData>
    <row r="1" ht="20" customHeight="1">
      <c r="A1" s="39" t="inlineStr">
        <is>
          <t>HMRC Mileage Claim Workbook – User Guide</t>
        </is>
      </c>
    </row>
    <row r="2" ht="8" customHeight="1">
      <c r="A2" s="40" t="inlineStr"/>
    </row>
    <row r="3" ht="20" customHeight="1">
      <c r="A3" s="41" t="inlineStr">
        <is>
          <t>SHEET 1: Mileage Claims</t>
        </is>
      </c>
    </row>
    <row r="4" ht="20" customHeight="1">
      <c r="A4" s="42" t="inlineStr">
        <is>
          <t>This is the main data-entry sheet. Enter one row per business journey.</t>
        </is>
      </c>
    </row>
    <row r="5" ht="8" customHeight="1">
      <c r="A5" s="40" t="inlineStr"/>
    </row>
    <row r="6" ht="20" customHeight="1">
      <c r="A6" s="43" t="inlineStr">
        <is>
          <t>COLUMN GUIDE</t>
        </is>
      </c>
    </row>
    <row r="7" ht="20" customHeight="1">
      <c r="A7" s="42" t="inlineStr">
        <is>
          <t>Claim ID         – Unique reference for each claim (e.g. MC-001)</t>
        </is>
      </c>
    </row>
    <row r="8" ht="20" customHeight="1">
      <c r="A8" s="40" t="inlineStr">
        <is>
          <t>Claim Date       – Date the journey took place (DD/MM/YYYY)</t>
        </is>
      </c>
    </row>
    <row r="9" ht="20" customHeight="1">
      <c r="A9" s="42" t="inlineStr">
        <is>
          <t>Employee         – Full name of the person making the claim</t>
        </is>
      </c>
    </row>
    <row r="10" ht="20" customHeight="1">
      <c r="A10" s="40" t="inlineStr">
        <is>
          <t>Department       – Business department of the claimant</t>
        </is>
      </c>
    </row>
    <row r="11" ht="20" customHeight="1">
      <c r="A11" s="42" t="inlineStr">
        <is>
          <t>Job / Client     – Client name or 'Internal' for internal travel</t>
        </is>
      </c>
    </row>
    <row r="12" ht="20" customHeight="1">
      <c r="A12" s="40" t="inlineStr">
        <is>
          <t>Start Location   – Town or address where journey began</t>
        </is>
      </c>
    </row>
    <row r="13" ht="20" customHeight="1">
      <c r="A13" s="42" t="inlineStr">
        <is>
          <t>End Location     – Town or address where journey ended</t>
        </is>
      </c>
    </row>
    <row r="14" ht="20" customHeight="1">
      <c r="A14" s="40" t="inlineStr">
        <is>
          <t>Purpose          – Brief description of the business reason for travel</t>
        </is>
      </c>
    </row>
    <row r="15" ht="20" customHeight="1">
      <c r="A15" s="42" t="inlineStr">
        <is>
          <t>Vehicle Type     – Car, Motorcycle, or Bicycle</t>
        </is>
      </c>
    </row>
    <row r="16" ht="20" customHeight="1">
      <c r="A16" s="40" t="inlineStr">
        <is>
          <t>Mileage Band     – Select 'Up to 10,000 miles' or 'Over 10,000 miles'</t>
        </is>
      </c>
    </row>
    <row r="17" ht="20" customHeight="1">
      <c r="A17" s="42" t="inlineStr">
        <is>
          <t>Miles Driven     – Actual business miles for this journey</t>
        </is>
      </c>
    </row>
    <row r="18" ht="20" customHeight="1">
      <c r="A18" s="40" t="inlineStr">
        <is>
          <t>HMRC Rate        – Auto-calculated via lookup to HMRC Rates sheet</t>
        </is>
      </c>
    </row>
    <row r="19" ht="20" customHeight="1">
      <c r="A19" s="42" t="inlineStr">
        <is>
          <t>Claim Amount     – Miles × HMRC Rate (auto-calculated)</t>
        </is>
      </c>
    </row>
    <row r="20" ht="20" customHeight="1">
      <c r="A20" s="40" t="inlineStr">
        <is>
          <t>Parking / Tolls  – Any additional parking or toll costs (enter manually)</t>
        </is>
      </c>
    </row>
    <row r="21" ht="20" customHeight="1">
      <c r="A21" s="42" t="inlineStr">
        <is>
          <t>Total Claim      – Claim Amount + Parking/Tolls (auto-calculated)</t>
        </is>
      </c>
    </row>
    <row r="22" ht="20" customHeight="1">
      <c r="A22" s="40" t="inlineStr">
        <is>
          <t>Approval Status  – Enter: Approved, Pending, or Rejected</t>
        </is>
      </c>
    </row>
    <row r="23" ht="20" customHeight="1">
      <c r="A23" s="42" t="inlineStr">
        <is>
          <t>Manager          – Name of approving manager</t>
        </is>
      </c>
    </row>
    <row r="24" ht="20" customHeight="1">
      <c r="A24" s="40" t="inlineStr">
        <is>
          <t>Approved Date    – Date claim was approved (DD/MM/YYYY)</t>
        </is>
      </c>
    </row>
    <row r="25" ht="8" customHeight="1">
      <c r="A25" s="40" t="inlineStr"/>
    </row>
    <row r="26" ht="20" customHeight="1">
      <c r="A26" s="41" t="inlineStr">
        <is>
          <t>SHEET 2: HMRC Rates</t>
        </is>
      </c>
    </row>
    <row r="27" ht="20" customHeight="1">
      <c r="A27" s="42" t="inlineStr">
        <is>
          <t>Contains the HMRC Approved Mileage Allowance Payment (AMAP) rates.</t>
        </is>
      </c>
    </row>
    <row r="28" ht="20" customHeight="1">
      <c r="A28" s="40" t="inlineStr">
        <is>
          <t>These rates are used automatically by the Mileage Claims sheet via VLOOKUP.</t>
        </is>
      </c>
    </row>
    <row r="29" ht="20" customHeight="1">
      <c r="A29" s="42" t="inlineStr">
        <is>
          <t>Do not alter band names in Column A unless you also update the Mileage Claims sheet.</t>
        </is>
      </c>
    </row>
    <row r="30" ht="8" customHeight="1">
      <c r="A30" s="40" t="inlineStr"/>
    </row>
    <row r="31" ht="20" customHeight="1">
      <c r="A31" s="41" t="inlineStr">
        <is>
          <t>SHEET 3: Summary Dashboard</t>
        </is>
      </c>
    </row>
    <row r="32" ht="20" customHeight="1">
      <c r="A32" s="42" t="inlineStr">
        <is>
          <t>Provides an at-a-glance summary for managers and finance teams.</t>
        </is>
      </c>
    </row>
    <row r="33" ht="20" customHeight="1">
      <c r="A33" s="40" t="inlineStr">
        <is>
          <t>All figures update automatically when new rows are added to the Mileage Claims sheet.</t>
        </is>
      </c>
    </row>
    <row r="34" ht="8" customHeight="1">
      <c r="A34" s="40" t="inlineStr"/>
    </row>
    <row r="35" ht="20" customHeight="1">
      <c r="A35" s="44" t="inlineStr">
        <is>
          <t>HMRC RULES REMINDER</t>
        </is>
      </c>
    </row>
    <row r="36" ht="20" customHeight="1">
      <c r="A36" s="45" t="inlineStr">
        <is>
          <t>1. Keep records of ALL business journeys – date, start, end, purpose, miles.</t>
        </is>
      </c>
    </row>
    <row r="37" ht="20" customHeight="1">
      <c r="A37" s="40" t="inlineStr">
        <is>
          <t>2. The HMRC tax year runs from 6 April to 5 April each year.</t>
        </is>
      </c>
    </row>
    <row r="38" ht="20" customHeight="1">
      <c r="A38" s="45" t="inlineStr">
        <is>
          <t>3. The standard AMAP rate for cars is 45p per mile for the first 10,000 miles.</t>
        </is>
      </c>
    </row>
    <row r="39" ht="20" customHeight="1">
      <c r="A39" s="40" t="inlineStr">
        <is>
          <t>4. Above 10,000 business miles in the same tax year, the rate drops to 25p per mile.</t>
        </is>
      </c>
    </row>
    <row r="40" ht="20" customHeight="1">
      <c r="A40" s="45" t="inlineStr">
        <is>
          <t>5. Personal journeys MUST NOT be included in business mileage claims.</t>
        </is>
      </c>
    </row>
    <row r="41" ht="20" customHeight="1">
      <c r="A41" s="40" t="inlineStr">
        <is>
          <t>6. Commuting from home to a permanent workplace is NOT claimable.</t>
        </is>
      </c>
    </row>
    <row r="42" ht="20" customHeight="1">
      <c r="A42" s="45" t="inlineStr">
        <is>
          <t>7. Retain supporting evidence (maps, meeting invites, receipts for parking).</t>
        </is>
      </c>
    </row>
    <row r="43" ht="8" customHeight="1">
      <c r="A43" s="40" t="inlineStr"/>
    </row>
    <row r="44" ht="20" customHeight="1">
      <c r="A44" s="43" t="inlineStr">
        <is>
          <t>APPROVAL PROCESS</t>
        </is>
      </c>
    </row>
    <row r="45" ht="20" customHeight="1">
      <c r="A45" s="42" t="inlineStr">
        <is>
          <t>1. Employee completes all yellow input cells for each journey.</t>
        </is>
      </c>
    </row>
    <row r="46" ht="20" customHeight="1">
      <c r="A46" s="40" t="inlineStr">
        <is>
          <t>2. Employee submits the workbook to their line manager for review.</t>
        </is>
      </c>
    </row>
    <row r="47" ht="20" customHeight="1">
      <c r="A47" s="42" t="inlineStr">
        <is>
          <t>3. Manager reviews each claim, updates Approval Status and Approved Date.</t>
        </is>
      </c>
    </row>
    <row r="48" ht="20" customHeight="1">
      <c r="A48" s="40" t="inlineStr">
        <is>
          <t>4. Finance team processes payment for all 'Approved' claims.</t>
        </is>
      </c>
    </row>
    <row r="49" ht="8" customHeight="1">
      <c r="A49" s="40" t="inlineStr"/>
    </row>
    <row r="50" ht="20" customHeight="1">
      <c r="A50" s="43" t="inlineStr">
        <is>
          <t>EXAMPLE JOURNEY DESCRIPTIONS (acceptable)</t>
        </is>
      </c>
    </row>
    <row r="51" ht="20" customHeight="1">
      <c r="A51" s="42" t="inlineStr">
        <is>
          <t xml:space="preserve">  'Client meeting – Acme Ltd annual review, Manchester office'</t>
        </is>
      </c>
    </row>
    <row r="52" ht="20" customHeight="1">
      <c r="A52" s="40" t="inlineStr">
        <is>
          <t xml:space="preserve">  'Sales pitch – new business development, NorthStar Group, Edinburgh'</t>
        </is>
      </c>
    </row>
    <row r="53" ht="20" customHeight="1">
      <c r="A53" s="42" t="inlineStr">
        <is>
          <t xml:space="preserve">  'Internal – finance team quarterly planning, Leeds HQ'</t>
        </is>
      </c>
    </row>
    <row r="54" ht="20" customHeight="1">
      <c r="A54" s="40" t="inlineStr">
        <is>
          <t xml:space="preserve">  'Site inspection – BuildRight Co project, Bristol'</t>
        </is>
      </c>
    </row>
    <row r="55" ht="8" customHeight="1">
      <c r="A55" s="40" t="inlineStr"/>
    </row>
    <row r="56" ht="20" customHeight="1">
      <c r="A56" s="46" t="inlineStr">
        <is>
          <t>For HMRC guidance see: www.gov.uk/expenses-and-benefits-mileage-allowance-payments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2026-06-16T15:17:11Z</dcterms:created>
  <dcterms:modified xmlns:dcterms="http://purl.org/dc/terms/" xmlns:xsi="http://www.w3.org/2001/XMLSchema-instance" xsi:type="dcterms:W3CDTF">2026-06-16T15:17:11Z</dcterms:modified>
</cp:coreProperties>
</file>