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Movements" sheetId="1" state="visible" r:id="rId1"/>
    <sheet xmlns:r="http://schemas.openxmlformats.org/officeDocument/2006/relationships" name="Product Maste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0F766E"/>
      <sz val="16"/>
    </font>
    <font>
      <name val="Calibri"/>
      <b val="1"/>
      <color rgb="001F2937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  <font>
      <name val="Calibri"/>
      <b val="1"/>
      <color rgb="000F766E"/>
      <sz val="15"/>
    </font>
  </fonts>
  <fills count="7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center" vertical="center"/>
    </xf>
    <xf numFmtId="3" fontId="3" fillId="2" borderId="1" applyAlignment="1" pivotButton="0" quotePrefix="0" xfId="0">
      <alignment horizontal="center" vertical="center"/>
    </xf>
    <xf numFmtId="166" fontId="3" fillId="2" borderId="1" applyAlignment="1" pivotButton="0" quotePrefix="0" xfId="0">
      <alignment horizontal="center" vertical="center"/>
    </xf>
    <xf numFmtId="49" fontId="3" fillId="2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3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49" fontId="3" fillId="5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165" fontId="7" fillId="5" borderId="1" applyAlignment="1" pivotButton="0" quotePrefix="0" xfId="0">
      <alignment horizontal="center" vertical="center"/>
    </xf>
    <xf numFmtId="3" fontId="7" fillId="5" borderId="1" applyAlignment="1" pivotButton="0" quotePrefix="0" xfId="0">
      <alignment horizontal="center" vertical="center"/>
    </xf>
    <xf numFmtId="166" fontId="7" fillId="5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0" fontId="3" fillId="5" borderId="1" pivotButton="0" quotePrefix="0" xfId="0"/>
    <xf numFmtId="0" fontId="3" fillId="2" borderId="1" pivotButton="0" quotePrefix="0" xfId="0"/>
    <xf numFmtId="0" fontId="7" fillId="0" borderId="0" pivotButton="0" quotePrefix="0" xfId="0"/>
    <xf numFmtId="0" fontId="8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5" fillId="5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5803D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Value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'Dashboard'!K21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'Dashboard'!$J$22:$J$23</f>
            </numRef>
          </cat>
          <val>
            <numRef>
              <f>'Dashboard'!$K$22:$K$23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Stock Value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5 SKUs by Stock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'Dashboard'!K35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'Dashboard'!$J$36:$J$40</f>
            </numRef>
          </cat>
          <val>
            <numRef>
              <f>'Dashboard'!$K$36:$K$40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Stock Value (£)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SKU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On Hand Trend (January 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'Dashboard'!K50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'Dashboard'!$J$51:$J$54</f>
            </numRef>
          </cat>
          <val>
            <numRef>
              <f>'Dashboard'!$K$51:$K$54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Week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Units On Hand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20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35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22" customWidth="1" min="3" max="3"/>
    <col width="16" customWidth="1" min="4" max="4"/>
    <col width="14" customWidth="1" min="5" max="5"/>
    <col width="14" customWidth="1" min="6" max="6"/>
    <col width="22" customWidth="1" min="7" max="7"/>
    <col width="8" customWidth="1" min="8" max="8"/>
    <col width="8" customWidth="1" min="9" max="9"/>
    <col width="13" customWidth="1" min="10" max="10"/>
    <col width="18" customWidth="1" min="11" max="11"/>
    <col width="10" customWidth="1" min="12" max="12"/>
    <col width="14" customWidth="1" min="13" max="13"/>
    <col width="13" customWidth="1" min="14" max="14"/>
    <col width="13" customWidth="1" min="15" max="15"/>
    <col width="12" customWidth="1" min="16" max="16"/>
    <col width="14" customWidth="1" min="17" max="17"/>
    <col width="14" customWidth="1" min="18" max="18"/>
    <col width="10" customWidth="1" min="19" max="19"/>
    <col width="10" customWidth="1" min="20" max="20"/>
  </cols>
  <sheetData>
    <row r="1" ht="22" customHeight="1">
      <c r="A1" s="1" t="inlineStr">
        <is>
          <t>Stock Control — Stock Movements</t>
        </is>
      </c>
    </row>
    <row r="2" ht="18" customHeight="1">
      <c r="A2" s="2" t="inlineStr">
        <is>
          <t>Transaction Date</t>
        </is>
      </c>
      <c r="B2" s="2" t="inlineStr">
        <is>
          <t>SKU</t>
        </is>
      </c>
      <c r="C2" s="2" t="inlineStr">
        <is>
          <t>Product Name</t>
        </is>
      </c>
      <c r="D2" s="2" t="inlineStr">
        <is>
          <t>Category</t>
        </is>
      </c>
      <c r="E2" s="2" t="inlineStr">
        <is>
          <t>Location</t>
        </is>
      </c>
      <c r="F2" s="2" t="inlineStr">
        <is>
          <t>Movement Type</t>
        </is>
      </c>
      <c r="G2" s="2" t="inlineStr">
        <is>
          <t>Supplier / Customer</t>
        </is>
      </c>
      <c r="H2" s="2" t="inlineStr">
        <is>
          <t>Qty In</t>
        </is>
      </c>
      <c r="I2" s="2" t="inlineStr">
        <is>
          <t>Qty Out</t>
        </is>
      </c>
      <c r="J2" s="2" t="inlineStr">
        <is>
          <t>Unit Cost (£)</t>
        </is>
      </c>
      <c r="K2" s="2" t="inlineStr">
        <is>
          <t>Unit Selling Price (£)</t>
        </is>
      </c>
      <c r="L2" s="2" t="inlineStr">
        <is>
          <t>VAT Rate</t>
        </is>
      </c>
      <c r="M2" s="2" t="inlineStr">
        <is>
          <t>Gross Value (£)</t>
        </is>
      </c>
      <c r="N2" s="2" t="inlineStr">
        <is>
          <t>Net Value (£)</t>
        </is>
      </c>
      <c r="O2" s="2" t="inlineStr">
        <is>
          <t>Reorder Level</t>
        </is>
      </c>
      <c r="P2" s="2" t="inlineStr">
        <is>
          <t>Reorder Qty</t>
        </is>
      </c>
      <c r="Q2" s="2" t="inlineStr">
        <is>
          <t>Stock On Hand</t>
        </is>
      </c>
      <c r="R2" s="2" t="inlineStr">
        <is>
          <t>Stock Value (£)</t>
        </is>
      </c>
      <c r="S2" s="2" t="inlineStr">
        <is>
          <t>Margin %</t>
        </is>
      </c>
      <c r="T2" s="2" t="inlineStr">
        <is>
          <t>Status</t>
        </is>
      </c>
    </row>
    <row r="3">
      <c r="A3" s="3" t="inlineStr">
        <is>
          <t>02/01/2026</t>
        </is>
      </c>
      <c r="B3" s="4" t="inlineStr">
        <is>
          <t>STA001</t>
        </is>
      </c>
      <c r="C3" s="5" t="inlineStr">
        <is>
          <t>A4 Printer Paper</t>
        </is>
      </c>
      <c r="D3" s="6" t="inlineStr">
        <is>
          <t>Stationery</t>
        </is>
      </c>
      <c r="E3" s="6" t="inlineStr">
        <is>
          <t>London</t>
        </is>
      </c>
      <c r="F3" s="4" t="inlineStr">
        <is>
          <t>Receipt</t>
        </is>
      </c>
      <c r="G3" s="4" t="inlineStr">
        <is>
          <t>Oliver (Staples UK)</t>
        </is>
      </c>
      <c r="H3" s="4" t="n">
        <v>120</v>
      </c>
      <c r="I3" s="4" t="n">
        <v>0</v>
      </c>
      <c r="J3" s="7" t="n">
        <v>3.5</v>
      </c>
      <c r="K3" s="7" t="n">
        <v>5.99</v>
      </c>
      <c r="L3" s="8" t="n">
        <v>0.2</v>
      </c>
      <c r="M3" s="9">
        <f>IF(F3="Sale",I3*K3,H3*J3)</f>
        <v/>
      </c>
      <c r="N3" s="9">
        <f>IFERROR(M3/(1+L3),0)</f>
        <v/>
      </c>
      <c r="O3" s="10" t="n">
        <v>50</v>
      </c>
      <c r="P3" s="10" t="n">
        <v>100</v>
      </c>
      <c r="Q3" s="10">
        <f>IFERROR(80+SUMIFS($H$3:$H$200,$B$3:$B$200,B3)-SUMIFS($I$3:$I$200,$B$3:$B$200,B3),0)</f>
        <v/>
      </c>
      <c r="R3" s="9">
        <f>IFERROR(Q3*J3,0)</f>
        <v/>
      </c>
      <c r="S3" s="11">
        <f>IFERROR((K3-J3)/K3,0)</f>
        <v/>
      </c>
      <c r="T3" s="12">
        <f>IF(Q3&lt;=O3,"Reorder","OK")</f>
        <v/>
      </c>
    </row>
    <row r="4">
      <c r="A4" s="3" t="inlineStr">
        <is>
          <t>05/01/2026</t>
        </is>
      </c>
      <c r="B4" s="4" t="inlineStr">
        <is>
          <t>TON002</t>
        </is>
      </c>
      <c r="C4" s="13" t="inlineStr">
        <is>
          <t>Toner Cartridge</t>
        </is>
      </c>
      <c r="D4" s="14" t="inlineStr">
        <is>
          <t>Consumables</t>
        </is>
      </c>
      <c r="E4" s="14" t="inlineStr">
        <is>
          <t>Manchester</t>
        </is>
      </c>
      <c r="F4" s="4" t="inlineStr">
        <is>
          <t>Sale</t>
        </is>
      </c>
      <c r="G4" s="4" t="inlineStr">
        <is>
          <t>Amelia (Office Co)</t>
        </is>
      </c>
      <c r="H4" s="4" t="n">
        <v>0</v>
      </c>
      <c r="I4" s="4" t="n">
        <v>18</v>
      </c>
      <c r="J4" s="7" t="n">
        <v>22</v>
      </c>
      <c r="K4" s="7" t="n">
        <v>38.5</v>
      </c>
      <c r="L4" s="8" t="n">
        <v>0.2</v>
      </c>
      <c r="M4" s="15">
        <f>IF(F4="Sale",I4*K4,H4*J4)</f>
        <v/>
      </c>
      <c r="N4" s="15">
        <f>IFERROR(M4/(1+L4),0)</f>
        <v/>
      </c>
      <c r="O4" s="16" t="n">
        <v>10</v>
      </c>
      <c r="P4" s="16" t="n">
        <v>20</v>
      </c>
      <c r="Q4" s="16">
        <f>IFERROR(25+SUMIFS($H$3:$H$200,$B$3:$B$200,B4)-SUMIFS($I$3:$I$200,$B$3:$B$200,B4),0)</f>
        <v/>
      </c>
      <c r="R4" s="15">
        <f>IFERROR(Q4*J4,0)</f>
        <v/>
      </c>
      <c r="S4" s="17">
        <f>IFERROR((K4-J4)/K4,0)</f>
        <v/>
      </c>
      <c r="T4" s="18">
        <f>IF(Q4&lt;=O4,"Reorder","OK")</f>
        <v/>
      </c>
    </row>
    <row r="5">
      <c r="A5" s="3" t="inlineStr">
        <is>
          <t>07/01/2026</t>
        </is>
      </c>
      <c r="B5" s="4" t="inlineStr">
        <is>
          <t>BND003</t>
        </is>
      </c>
      <c r="C5" s="5" t="inlineStr">
        <is>
          <t>Ring Binder</t>
        </is>
      </c>
      <c r="D5" s="6" t="inlineStr">
        <is>
          <t>Stationery</t>
        </is>
      </c>
      <c r="E5" s="6" t="inlineStr">
        <is>
          <t>Birmingham</t>
        </is>
      </c>
      <c r="F5" s="4" t="inlineStr">
        <is>
          <t>Receipt</t>
        </is>
      </c>
      <c r="G5" s="4" t="inlineStr">
        <is>
          <t>Harry (Avery UK)</t>
        </is>
      </c>
      <c r="H5" s="4" t="n">
        <v>60</v>
      </c>
      <c r="I5" s="4" t="n">
        <v>0</v>
      </c>
      <c r="J5" s="7" t="n">
        <v>1.8</v>
      </c>
      <c r="K5" s="7" t="n">
        <v>3.25</v>
      </c>
      <c r="L5" s="8" t="n">
        <v>0.2</v>
      </c>
      <c r="M5" s="9">
        <f>IF(F5="Sale",I5*K5,H5*J5)</f>
        <v/>
      </c>
      <c r="N5" s="9">
        <f>IFERROR(M5/(1+L5),0)</f>
        <v/>
      </c>
      <c r="O5" s="10" t="n">
        <v>20</v>
      </c>
      <c r="P5" s="10" t="n">
        <v>40</v>
      </c>
      <c r="Q5" s="10">
        <f>IFERROR(30+SUMIFS($H$3:$H$200,$B$3:$B$200,B5)-SUMIFS($I$3:$I$200,$B$3:$B$200,B5),0)</f>
        <v/>
      </c>
      <c r="R5" s="9">
        <f>IFERROR(Q5*J5,0)</f>
        <v/>
      </c>
      <c r="S5" s="11">
        <f>IFERROR((K5-J5)/K5,0)</f>
        <v/>
      </c>
      <c r="T5" s="12">
        <f>IF(Q5&lt;=O5,"Reorder","OK")</f>
        <v/>
      </c>
    </row>
    <row r="6">
      <c r="A6" s="3" t="inlineStr">
        <is>
          <t>10/01/2026</t>
        </is>
      </c>
      <c r="B6" s="4" t="inlineStr">
        <is>
          <t>PEN004</t>
        </is>
      </c>
      <c r="C6" s="13" t="inlineStr">
        <is>
          <t>Blue Pens</t>
        </is>
      </c>
      <c r="D6" s="14" t="inlineStr">
        <is>
          <t>Stationery</t>
        </is>
      </c>
      <c r="E6" s="14" t="inlineStr">
        <is>
          <t>Leeds</t>
        </is>
      </c>
      <c r="F6" s="4" t="inlineStr">
        <is>
          <t>Adjustment</t>
        </is>
      </c>
      <c r="G6" s="4" t="inlineStr">
        <is>
          <t>Sophie (Internal)</t>
        </is>
      </c>
      <c r="H6" s="4" t="n">
        <v>0</v>
      </c>
      <c r="I6" s="4" t="n">
        <v>4</v>
      </c>
      <c r="J6" s="7" t="n">
        <v>0.35</v>
      </c>
      <c r="K6" s="7" t="n">
        <v>0.75</v>
      </c>
      <c r="L6" s="8" t="n">
        <v>0.2</v>
      </c>
      <c r="M6" s="15">
        <f>IF(F6="Sale",I6*K6,H6*J6)</f>
        <v/>
      </c>
      <c r="N6" s="15">
        <f>IFERROR(M6/(1+L6),0)</f>
        <v/>
      </c>
      <c r="O6" s="16" t="n">
        <v>30</v>
      </c>
      <c r="P6" s="16" t="n">
        <v>60</v>
      </c>
      <c r="Q6" s="16">
        <f>IFERROR(50+SUMIFS($H$3:$H$200,$B$3:$B$200,B6)-SUMIFS($I$3:$I$200,$B$3:$B$200,B6),0)</f>
        <v/>
      </c>
      <c r="R6" s="15">
        <f>IFERROR(Q6*J6,0)</f>
        <v/>
      </c>
      <c r="S6" s="17">
        <f>IFERROR((K6-J6)/K6,0)</f>
        <v/>
      </c>
      <c r="T6" s="18">
        <f>IF(Q6&lt;=O6,"Reorder","OK")</f>
        <v/>
      </c>
    </row>
    <row r="7">
      <c r="A7" s="3" t="inlineStr">
        <is>
          <t>14/01/2026</t>
        </is>
      </c>
      <c r="B7" s="4" t="inlineStr">
        <is>
          <t>FOL005</t>
        </is>
      </c>
      <c r="C7" s="5" t="inlineStr">
        <is>
          <t>Lever Arch Files</t>
        </is>
      </c>
      <c r="D7" s="6" t="inlineStr">
        <is>
          <t>Stationery</t>
        </is>
      </c>
      <c r="E7" s="6" t="inlineStr">
        <is>
          <t>Bristol</t>
        </is>
      </c>
      <c r="F7" s="4" t="inlineStr">
        <is>
          <t>Transfer</t>
        </is>
      </c>
      <c r="G7" s="4" t="inlineStr">
        <is>
          <t>Jack (Bristol WH)</t>
        </is>
      </c>
      <c r="H7" s="4" t="n">
        <v>0</v>
      </c>
      <c r="I7" s="4" t="n">
        <v>25</v>
      </c>
      <c r="J7" s="7" t="n">
        <v>2.1</v>
      </c>
      <c r="K7" s="7" t="n">
        <v>4.5</v>
      </c>
      <c r="L7" s="8" t="n">
        <v>0.2</v>
      </c>
      <c r="M7" s="9">
        <f>IF(F7="Sale",I7*K7,H7*J7)</f>
        <v/>
      </c>
      <c r="N7" s="9">
        <f>IFERROR(M7/(1+L7),0)</f>
        <v/>
      </c>
      <c r="O7" s="10" t="n">
        <v>15</v>
      </c>
      <c r="P7" s="10" t="n">
        <v>30</v>
      </c>
      <c r="Q7" s="10">
        <f>IFERROR(40+SUMIFS($H$3:$H$200,$B$3:$B$200,B7)-SUMIFS($I$3:$I$200,$B$3:$B$200,B7),0)</f>
        <v/>
      </c>
      <c r="R7" s="9">
        <f>IFERROR(Q7*J7,0)</f>
        <v/>
      </c>
      <c r="S7" s="11">
        <f>IFERROR((K7-J7)/K7,0)</f>
        <v/>
      </c>
      <c r="T7" s="12">
        <f>IF(Q7&lt;=O7,"Reorder","OK")</f>
        <v/>
      </c>
    </row>
    <row r="8">
      <c r="A8" s="3" t="inlineStr">
        <is>
          <t>17/01/2026</t>
        </is>
      </c>
      <c r="B8" s="4" t="inlineStr">
        <is>
          <t>LBL006</t>
        </is>
      </c>
      <c r="C8" s="13" t="inlineStr">
        <is>
          <t>Address Labels</t>
        </is>
      </c>
      <c r="D8" s="14" t="inlineStr">
        <is>
          <t>Consumables</t>
        </is>
      </c>
      <c r="E8" s="14" t="inlineStr">
        <is>
          <t>Glasgow</t>
        </is>
      </c>
      <c r="F8" s="4" t="inlineStr">
        <is>
          <t>Sale</t>
        </is>
      </c>
      <c r="G8" s="4" t="inlineStr">
        <is>
          <t>Emily (Print Ltd)</t>
        </is>
      </c>
      <c r="H8" s="4" t="n">
        <v>0</v>
      </c>
      <c r="I8" s="4" t="n">
        <v>12</v>
      </c>
      <c r="J8" s="7" t="n">
        <v>1.2</v>
      </c>
      <c r="K8" s="7" t="n">
        <v>2.8</v>
      </c>
      <c r="L8" s="8" t="n">
        <v>0.2</v>
      </c>
      <c r="M8" s="15">
        <f>IF(F8="Sale",I8*K8,H8*J8)</f>
        <v/>
      </c>
      <c r="N8" s="15">
        <f>IFERROR(M8/(1+L8),0)</f>
        <v/>
      </c>
      <c r="O8" s="16" t="n">
        <v>20</v>
      </c>
      <c r="P8" s="16" t="n">
        <v>50</v>
      </c>
      <c r="Q8" s="16">
        <f>IFERROR(35+SUMIFS($H$3:$H$200,$B$3:$B$200,B8)-SUMIFS($I$3:$I$200,$B$3:$B$200,B8),0)</f>
        <v/>
      </c>
      <c r="R8" s="15">
        <f>IFERROR(Q8*J8,0)</f>
        <v/>
      </c>
      <c r="S8" s="17">
        <f>IFERROR((K8-J8)/K8,0)</f>
        <v/>
      </c>
      <c r="T8" s="18">
        <f>IF(Q8&lt;=O8,"Reorder","OK")</f>
        <v/>
      </c>
    </row>
    <row r="9">
      <c r="A9" s="3" t="inlineStr">
        <is>
          <t>21/01/2026</t>
        </is>
      </c>
      <c r="B9" s="4" t="inlineStr">
        <is>
          <t>STA001</t>
        </is>
      </c>
      <c r="C9" s="5" t="inlineStr">
        <is>
          <t>A4 Printer Paper</t>
        </is>
      </c>
      <c r="D9" s="6" t="inlineStr">
        <is>
          <t>Stationery</t>
        </is>
      </c>
      <c r="E9" s="6" t="inlineStr">
        <is>
          <t>Liverpool</t>
        </is>
      </c>
      <c r="F9" s="4" t="inlineStr">
        <is>
          <t>Receipt</t>
        </is>
      </c>
      <c r="G9" s="4" t="inlineStr">
        <is>
          <t>George (Staples UK)</t>
        </is>
      </c>
      <c r="H9" s="4" t="n">
        <v>200</v>
      </c>
      <c r="I9" s="4" t="n">
        <v>0</v>
      </c>
      <c r="J9" s="7" t="n">
        <v>3.5</v>
      </c>
      <c r="K9" s="7" t="n">
        <v>5.99</v>
      </c>
      <c r="L9" s="8" t="n">
        <v>0.2</v>
      </c>
      <c r="M9" s="9">
        <f>IF(F9="Sale",I9*K9,H9*J9)</f>
        <v/>
      </c>
      <c r="N9" s="9">
        <f>IFERROR(M9/(1+L9),0)</f>
        <v/>
      </c>
      <c r="O9" s="10" t="n">
        <v>50</v>
      </c>
      <c r="P9" s="10" t="n">
        <v>100</v>
      </c>
      <c r="Q9" s="10">
        <f>IFERROR(80+SUMIFS($H$3:$H$200,$B$3:$B$200,B9)-SUMIFS($I$3:$I$200,$B$3:$B$200,B9),0)</f>
        <v/>
      </c>
      <c r="R9" s="9">
        <f>IFERROR(Q9*J9,0)</f>
        <v/>
      </c>
      <c r="S9" s="11">
        <f>IFERROR((K9-J9)/K9,0)</f>
        <v/>
      </c>
      <c r="T9" s="12">
        <f>IF(Q9&lt;=O9,"Reorder","OK")</f>
        <v/>
      </c>
    </row>
    <row r="10">
      <c r="A10" s="3" t="inlineStr">
        <is>
          <t>24/01/2026</t>
        </is>
      </c>
      <c r="B10" s="4" t="inlineStr">
        <is>
          <t>PEN004</t>
        </is>
      </c>
      <c r="C10" s="13" t="inlineStr">
        <is>
          <t>Blue Pens</t>
        </is>
      </c>
      <c r="D10" s="14" t="inlineStr">
        <is>
          <t>Stationery</t>
        </is>
      </c>
      <c r="E10" s="14" t="inlineStr">
        <is>
          <t>Sheffield</t>
        </is>
      </c>
      <c r="F10" s="4" t="inlineStr">
        <is>
          <t>Sale</t>
        </is>
      </c>
      <c r="G10" s="4" t="inlineStr">
        <is>
          <t>Isla (Supplies Co)</t>
        </is>
      </c>
      <c r="H10" s="4" t="n">
        <v>0</v>
      </c>
      <c r="I10" s="4" t="n">
        <v>30</v>
      </c>
      <c r="J10" s="7" t="n">
        <v>0.35</v>
      </c>
      <c r="K10" s="7" t="n">
        <v>0.75</v>
      </c>
      <c r="L10" s="8" t="n">
        <v>0.2</v>
      </c>
      <c r="M10" s="15">
        <f>IF(F10="Sale",I10*K10,H10*J10)</f>
        <v/>
      </c>
      <c r="N10" s="15">
        <f>IFERROR(M10/(1+L10),0)</f>
        <v/>
      </c>
      <c r="O10" s="16" t="n">
        <v>30</v>
      </c>
      <c r="P10" s="16" t="n">
        <v>60</v>
      </c>
      <c r="Q10" s="16">
        <f>IFERROR(50+SUMIFS($H$3:$H$200,$B$3:$B$200,B10)-SUMIFS($I$3:$I$200,$B$3:$B$200,B10),0)</f>
        <v/>
      </c>
      <c r="R10" s="15">
        <f>IFERROR(Q10*J10,0)</f>
        <v/>
      </c>
      <c r="S10" s="17">
        <f>IFERROR((K10-J10)/K10,0)</f>
        <v/>
      </c>
      <c r="T10" s="18">
        <f>IF(Q10&lt;=O10,"Reorder","OK")</f>
        <v/>
      </c>
    </row>
    <row r="11">
      <c r="A11" s="3" t="inlineStr">
        <is>
          <t>28/01/2026</t>
        </is>
      </c>
      <c r="B11" s="4" t="inlineStr">
        <is>
          <t>TON002</t>
        </is>
      </c>
      <c r="C11" s="5" t="inlineStr">
        <is>
          <t>Toner Cartridge</t>
        </is>
      </c>
      <c r="D11" s="6" t="inlineStr">
        <is>
          <t>Consumables</t>
        </is>
      </c>
      <c r="E11" s="6" t="inlineStr">
        <is>
          <t>Edinburgh</t>
        </is>
      </c>
      <c r="F11" s="4" t="inlineStr">
        <is>
          <t>Receipt</t>
        </is>
      </c>
      <c r="G11" s="4" t="inlineStr">
        <is>
          <t>Charlie (Brother UK)</t>
        </is>
      </c>
      <c r="H11" s="4" t="n">
        <v>40</v>
      </c>
      <c r="I11" s="4" t="n">
        <v>0</v>
      </c>
      <c r="J11" s="7" t="n">
        <v>22</v>
      </c>
      <c r="K11" s="7" t="n">
        <v>38.5</v>
      </c>
      <c r="L11" s="8" t="n">
        <v>0.2</v>
      </c>
      <c r="M11" s="9">
        <f>IF(F11="Sale",I11*K11,H11*J11)</f>
        <v/>
      </c>
      <c r="N11" s="9">
        <f>IFERROR(M11/(1+L11),0)</f>
        <v/>
      </c>
      <c r="O11" s="10" t="n">
        <v>10</v>
      </c>
      <c r="P11" s="10" t="n">
        <v>20</v>
      </c>
      <c r="Q11" s="10">
        <f>IFERROR(25+SUMIFS($H$3:$H$200,$B$3:$B$200,B11)-SUMIFS($I$3:$I$200,$B$3:$B$200,B11),0)</f>
        <v/>
      </c>
      <c r="R11" s="9">
        <f>IFERROR(Q11*J11,0)</f>
        <v/>
      </c>
      <c r="S11" s="11">
        <f>IFERROR((K11-J11)/K11,0)</f>
        <v/>
      </c>
      <c r="T11" s="12">
        <f>IF(Q11&lt;=O11,"Reorder","OK")</f>
        <v/>
      </c>
    </row>
    <row r="12">
      <c r="A12" s="3" t="inlineStr">
        <is>
          <t>30/01/2026</t>
        </is>
      </c>
      <c r="B12" s="4" t="inlineStr">
        <is>
          <t>BND003</t>
        </is>
      </c>
      <c r="C12" s="13" t="inlineStr">
        <is>
          <t>Ring Binder</t>
        </is>
      </c>
      <c r="D12" s="14" t="inlineStr">
        <is>
          <t>Stationery</t>
        </is>
      </c>
      <c r="E12" s="14" t="inlineStr">
        <is>
          <t>Cardiff</t>
        </is>
      </c>
      <c r="F12" s="4" t="inlineStr">
        <is>
          <t>Adjustment</t>
        </is>
      </c>
      <c r="G12" s="4" t="inlineStr">
        <is>
          <t>Grace (Internal)</t>
        </is>
      </c>
      <c r="H12" s="4" t="n">
        <v>6</v>
      </c>
      <c r="I12" s="4" t="n">
        <v>0</v>
      </c>
      <c r="J12" s="7" t="n">
        <v>1.8</v>
      </c>
      <c r="K12" s="7" t="n">
        <v>3.25</v>
      </c>
      <c r="L12" s="8" t="n">
        <v>0.2</v>
      </c>
      <c r="M12" s="15">
        <f>IF(F12="Sale",I12*K12,H12*J12)</f>
        <v/>
      </c>
      <c r="N12" s="15">
        <f>IFERROR(M12/(1+L12),0)</f>
        <v/>
      </c>
      <c r="O12" s="16" t="n">
        <v>20</v>
      </c>
      <c r="P12" s="16" t="n">
        <v>40</v>
      </c>
      <c r="Q12" s="16">
        <f>IFERROR(30+SUMIFS($H$3:$H$200,$B$3:$B$200,B12)-SUMIFS($I$3:$I$200,$B$3:$B$200,B12),0)</f>
        <v/>
      </c>
      <c r="R12" s="15">
        <f>IFERROR(Q12*J12,0)</f>
        <v/>
      </c>
      <c r="S12" s="17">
        <f>IFERROR((K12-J12)/K12,0)</f>
        <v/>
      </c>
      <c r="T12" s="18">
        <f>IF(Q12&lt;=O12,"Reorder","OK")</f>
        <v/>
      </c>
    </row>
  </sheetData>
  <mergeCells count="1">
    <mergeCell ref="A1:T1"/>
  </mergeCells>
  <conditionalFormatting sqref="T3:T200">
    <cfRule type="expression" priority="1" dxfId="0" stopIfTrue="1">
      <formula>$T3="Reorder"</formula>
    </cfRule>
  </conditionalFormatting>
  <conditionalFormatting sqref="R3:R200">
    <cfRule type="expression" priority="2" dxfId="1" stopIfTrue="1">
      <formula>$R3&gt;0</formula>
    </cfRule>
  </conditionalFormatting>
  <dataValidations count="2">
    <dataValidation sqref="F3:F200" showErrorMessage="1" showInputMessage="1" allowBlank="1" type="list">
      <formula1>"Receipt,Sale,Adjustment,Transfer"</formula1>
    </dataValidation>
    <dataValidation sqref="L3:L200" showErrorMessage="1" showInputMessage="1" allowBlank="1" type="list">
      <formula1>"0,0.05,0.2"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6" customWidth="1" min="3" max="3"/>
    <col width="16" customWidth="1" min="4" max="4"/>
    <col width="14" customWidth="1" min="5" max="5"/>
    <col width="18" customWidth="1" min="6" max="6"/>
    <col width="20" customWidth="1" min="7" max="7"/>
    <col width="10" customWidth="1" min="8" max="8"/>
    <col width="13" customWidth="1" min="9" max="9"/>
    <col width="12" customWidth="1" min="10" max="10"/>
    <col width="22" customWidth="1" min="11" max="11"/>
    <col width="14" customWidth="1" min="12" max="12"/>
    <col width="10" customWidth="1" min="13" max="13"/>
  </cols>
  <sheetData>
    <row r="1" ht="22" customHeight="1">
      <c r="A1" s="1" t="inlineStr">
        <is>
          <t>Stock Control — Product Master</t>
        </is>
      </c>
    </row>
    <row r="2" ht="18" customHeight="1">
      <c r="A2" s="2" t="inlineStr">
        <is>
          <t>SKU</t>
        </is>
      </c>
      <c r="B2" s="2" t="inlineStr">
        <is>
          <t>Product Name</t>
        </is>
      </c>
      <c r="C2" s="2" t="inlineStr">
        <is>
          <t>Category</t>
        </is>
      </c>
      <c r="D2" s="2" t="inlineStr">
        <is>
          <t>Brand</t>
        </is>
      </c>
      <c r="E2" s="2" t="inlineStr">
        <is>
          <t>Unit of Measure</t>
        </is>
      </c>
      <c r="F2" s="2" t="inlineStr">
        <is>
          <t>Standard Unit Cost (£)</t>
        </is>
      </c>
      <c r="G2" s="2" t="inlineStr">
        <is>
          <t>Standard Selling Price (£)</t>
        </is>
      </c>
      <c r="H2" s="2" t="inlineStr">
        <is>
          <t>VAT Rate</t>
        </is>
      </c>
      <c r="I2" s="2" t="inlineStr">
        <is>
          <t>Reorder Level</t>
        </is>
      </c>
      <c r="J2" s="2" t="inlineStr">
        <is>
          <t>Reorder Qty</t>
        </is>
      </c>
      <c r="K2" s="2" t="inlineStr">
        <is>
          <t>Supplier</t>
        </is>
      </c>
      <c r="L2" s="2" t="inlineStr">
        <is>
          <t>Lead Time (Days)</t>
        </is>
      </c>
      <c r="M2" s="2" t="inlineStr">
        <is>
          <t>Active?</t>
        </is>
      </c>
    </row>
    <row r="3">
      <c r="A3" s="6" t="inlineStr">
        <is>
          <t>STA001</t>
        </is>
      </c>
      <c r="B3" s="5" t="inlineStr">
        <is>
          <t>A4 Printer Paper</t>
        </is>
      </c>
      <c r="C3" s="6" t="inlineStr">
        <is>
          <t>Stationery</t>
        </is>
      </c>
      <c r="D3" s="6" t="inlineStr">
        <is>
          <t>Hammermill</t>
        </is>
      </c>
      <c r="E3" s="6" t="inlineStr">
        <is>
          <t>Ream</t>
        </is>
      </c>
      <c r="F3" s="7" t="n">
        <v>3.5</v>
      </c>
      <c r="G3" s="7" t="n">
        <v>5.99</v>
      </c>
      <c r="H3" s="8" t="n">
        <v>0.2</v>
      </c>
      <c r="I3" s="19" t="n">
        <v>50</v>
      </c>
      <c r="J3" s="19" t="n">
        <v>100</v>
      </c>
      <c r="K3" s="6" t="inlineStr">
        <is>
          <t>Staples UK</t>
        </is>
      </c>
      <c r="L3" s="19" t="n">
        <v>3</v>
      </c>
      <c r="M3" s="6">
        <f>IF(=IFERROR(80+SUMIFS('Stock Movements'!$H$3:$H$200,'Stock Movements'!$B$3:$B$200,A3)-SUMIFS('Stock Movements'!$I$3:$I$200,'Stock Movements'!$B$3:$B$200,A3),0)&gt;0,"Yes","No")</f>
        <v/>
      </c>
    </row>
    <row r="4">
      <c r="A4" s="14" t="inlineStr">
        <is>
          <t>TON002</t>
        </is>
      </c>
      <c r="B4" s="13" t="inlineStr">
        <is>
          <t>Toner Cartridge</t>
        </is>
      </c>
      <c r="C4" s="14" t="inlineStr">
        <is>
          <t>Consumables</t>
        </is>
      </c>
      <c r="D4" s="14" t="inlineStr">
        <is>
          <t>Brother</t>
        </is>
      </c>
      <c r="E4" s="14" t="inlineStr">
        <is>
          <t>Unit</t>
        </is>
      </c>
      <c r="F4" s="7" t="n">
        <v>22</v>
      </c>
      <c r="G4" s="7" t="n">
        <v>38.5</v>
      </c>
      <c r="H4" s="8" t="n">
        <v>0.2</v>
      </c>
      <c r="I4" s="19" t="n">
        <v>10</v>
      </c>
      <c r="J4" s="19" t="n">
        <v>20</v>
      </c>
      <c r="K4" s="14" t="inlineStr">
        <is>
          <t>Brother UK</t>
        </is>
      </c>
      <c r="L4" s="19" t="n">
        <v>5</v>
      </c>
      <c r="M4" s="14">
        <f>IF(=IFERROR(25+SUMIFS('Stock Movements'!$H$3:$H$200,'Stock Movements'!$B$3:$B$200,A4)-SUMIFS('Stock Movements'!$I$3:$I$200,'Stock Movements'!$B$3:$B$200,A4),0)&gt;0,"Yes","No")</f>
        <v/>
      </c>
    </row>
    <row r="5">
      <c r="A5" s="6" t="inlineStr">
        <is>
          <t>BND003</t>
        </is>
      </c>
      <c r="B5" s="5" t="inlineStr">
        <is>
          <t>Ring Binder</t>
        </is>
      </c>
      <c r="C5" s="6" t="inlineStr">
        <is>
          <t>Stationery</t>
        </is>
      </c>
      <c r="D5" s="6" t="inlineStr">
        <is>
          <t>Avery</t>
        </is>
      </c>
      <c r="E5" s="6" t="inlineStr">
        <is>
          <t>Unit</t>
        </is>
      </c>
      <c r="F5" s="7" t="n">
        <v>1.8</v>
      </c>
      <c r="G5" s="7" t="n">
        <v>3.25</v>
      </c>
      <c r="H5" s="8" t="n">
        <v>0.2</v>
      </c>
      <c r="I5" s="19" t="n">
        <v>20</v>
      </c>
      <c r="J5" s="19" t="n">
        <v>40</v>
      </c>
      <c r="K5" s="6" t="inlineStr">
        <is>
          <t>Avery UK</t>
        </is>
      </c>
      <c r="L5" s="19" t="n">
        <v>4</v>
      </c>
      <c r="M5" s="6">
        <f>IF(=IFERROR(30+SUMIFS('Stock Movements'!$H$3:$H$200,'Stock Movements'!$B$3:$B$200,A5)-SUMIFS('Stock Movements'!$I$3:$I$200,'Stock Movements'!$B$3:$B$200,A5),0)&gt;0,"Yes","No")</f>
        <v/>
      </c>
    </row>
    <row r="6">
      <c r="A6" s="14" t="inlineStr">
        <is>
          <t>PEN004</t>
        </is>
      </c>
      <c r="B6" s="13" t="inlineStr">
        <is>
          <t>Blue Pens</t>
        </is>
      </c>
      <c r="C6" s="14" t="inlineStr">
        <is>
          <t>Stationery</t>
        </is>
      </c>
      <c r="D6" s="14" t="inlineStr">
        <is>
          <t>Bic</t>
        </is>
      </c>
      <c r="E6" s="14" t="inlineStr">
        <is>
          <t>Box</t>
        </is>
      </c>
      <c r="F6" s="7" t="n">
        <v>0.35</v>
      </c>
      <c r="G6" s="7" t="n">
        <v>0.75</v>
      </c>
      <c r="H6" s="8" t="n">
        <v>0.2</v>
      </c>
      <c r="I6" s="19" t="n">
        <v>30</v>
      </c>
      <c r="J6" s="19" t="n">
        <v>60</v>
      </c>
      <c r="K6" s="14" t="inlineStr">
        <is>
          <t>Bic UK</t>
        </is>
      </c>
      <c r="L6" s="19" t="n">
        <v>2</v>
      </c>
      <c r="M6" s="14">
        <f>IF(=IFERROR(50+SUMIFS('Stock Movements'!$H$3:$H$200,'Stock Movements'!$B$3:$B$200,A6)-SUMIFS('Stock Movements'!$I$3:$I$200,'Stock Movements'!$B$3:$B$200,A6),0)&gt;0,"Yes","No")</f>
        <v/>
      </c>
    </row>
    <row r="7">
      <c r="A7" s="6" t="inlineStr">
        <is>
          <t>FOL005</t>
        </is>
      </c>
      <c r="B7" s="5" t="inlineStr">
        <is>
          <t>Lever Arch Files</t>
        </is>
      </c>
      <c r="C7" s="6" t="inlineStr">
        <is>
          <t>Stationery</t>
        </is>
      </c>
      <c r="D7" s="6" t="inlineStr">
        <is>
          <t>Leitz</t>
        </is>
      </c>
      <c r="E7" s="6" t="inlineStr">
        <is>
          <t>Unit</t>
        </is>
      </c>
      <c r="F7" s="7" t="n">
        <v>2.1</v>
      </c>
      <c r="G7" s="7" t="n">
        <v>4.5</v>
      </c>
      <c r="H7" s="8" t="n">
        <v>0.2</v>
      </c>
      <c r="I7" s="19" t="n">
        <v>15</v>
      </c>
      <c r="J7" s="19" t="n">
        <v>30</v>
      </c>
      <c r="K7" s="6" t="inlineStr">
        <is>
          <t>Leitz UK</t>
        </is>
      </c>
      <c r="L7" s="19" t="n">
        <v>4</v>
      </c>
      <c r="M7" s="6">
        <f>IF(=IFERROR(40+SUMIFS('Stock Movements'!$H$3:$H$200,'Stock Movements'!$B$3:$B$200,A7)-SUMIFS('Stock Movements'!$I$3:$I$200,'Stock Movements'!$B$3:$B$200,A7),0)&gt;0,"Yes","No")</f>
        <v/>
      </c>
    </row>
    <row r="8">
      <c r="A8" s="14" t="inlineStr">
        <is>
          <t>LBL006</t>
        </is>
      </c>
      <c r="B8" s="13" t="inlineStr">
        <is>
          <t>Address Labels</t>
        </is>
      </c>
      <c r="C8" s="14" t="inlineStr">
        <is>
          <t>Consumables</t>
        </is>
      </c>
      <c r="D8" s="14" t="inlineStr">
        <is>
          <t>Avery</t>
        </is>
      </c>
      <c r="E8" s="14" t="inlineStr">
        <is>
          <t>Sheet</t>
        </is>
      </c>
      <c r="F8" s="7" t="n">
        <v>1.2</v>
      </c>
      <c r="G8" s="7" t="n">
        <v>2.8</v>
      </c>
      <c r="H8" s="8" t="n">
        <v>0.2</v>
      </c>
      <c r="I8" s="19" t="n">
        <v>20</v>
      </c>
      <c r="J8" s="19" t="n">
        <v>50</v>
      </c>
      <c r="K8" s="14" t="inlineStr">
        <is>
          <t>Avery UK</t>
        </is>
      </c>
      <c r="L8" s="19" t="n">
        <v>3</v>
      </c>
      <c r="M8" s="14">
        <f>IF(=IFERROR(35+SUMIFS('Stock Movements'!$H$3:$H$200,'Stock Movements'!$B$3:$B$200,A8)-SUMIFS('Stock Movements'!$I$3:$I$200,'Stock Movements'!$B$3:$B$200,A8),0)&gt;0,"Yes","No")</f>
        <v/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</cols>
  <sheetData>
    <row r="1" ht="30" customHeight="1">
      <c r="A1" s="20" t="inlineStr">
        <is>
          <t>Stock Control Dashboard</t>
        </is>
      </c>
    </row>
    <row r="2"/>
    <row r="3">
      <c r="B3" s="21" t="inlineStr">
        <is>
          <t>Total Stock Value (£)</t>
        </is>
      </c>
      <c r="C3" s="22">
        <f>IFERROR(SUM('Stock Movements'!R3:R200),0)</f>
        <v/>
      </c>
    </row>
    <row r="4">
      <c r="B4" s="21" t="inlineStr">
        <is>
          <t>Total Units On Hand</t>
        </is>
      </c>
      <c r="C4" s="23">
        <f>IFERROR(SUMIF('Stock Movements'!B3:B200,"&lt;&gt;""",'Stock Movements'!Q3:Q200),0)</f>
        <v/>
      </c>
    </row>
    <row r="5">
      <c r="B5" s="21" t="inlineStr">
        <is>
          <t>SKUs Below Reorder</t>
        </is>
      </c>
      <c r="C5" s="23">
        <f>COUNTIF('Stock Movements'!T3:T200,"Reorder")</f>
        <v/>
      </c>
    </row>
    <row r="6">
      <c r="B6" s="21" t="inlineStr">
        <is>
          <t>Average Margin %</t>
        </is>
      </c>
      <c r="C6" s="24">
        <f>IFERROR(AVERAGE('Stock Movements'!S3:S200),0)</f>
        <v/>
      </c>
    </row>
    <row r="7"/>
    <row r="8">
      <c r="B8" s="25" t="inlineStr">
        <is>
          <t>Stock Value by Category</t>
        </is>
      </c>
    </row>
    <row r="9">
      <c r="B9" s="2" t="inlineStr">
        <is>
          <t>Category</t>
        </is>
      </c>
      <c r="C9" s="2" t="inlineStr">
        <is>
          <t>Stock Value (£)</t>
        </is>
      </c>
      <c r="D9" s="2" t="inlineStr">
        <is>
          <t>Units On Hand</t>
        </is>
      </c>
      <c r="E9" s="2" t="inlineStr">
        <is>
          <t>SKU Count</t>
        </is>
      </c>
    </row>
    <row r="10">
      <c r="B10" s="26" t="inlineStr">
        <is>
          <t>Stationery</t>
        </is>
      </c>
      <c r="C10" s="15">
        <f>IFERROR(SUMIFS('Stock Movements'!$R$3:$R$200,'Stock Movements'!$D$3:$D$200,B10),0)</f>
        <v/>
      </c>
      <c r="D10" s="16">
        <f>IFERROR(SUMIFS('Stock Movements'!$Q$3:$Q$200,'Stock Movements'!$D$3:$D$200,B10),0)</f>
        <v/>
      </c>
      <c r="E10" s="16">
        <f>IFERROR(COUNTIFS('Stock Movements'!$D$3:$D$200,B10,'Stock Movements'!$B$3:$B$200,"&lt;&gt;"""),0)</f>
        <v/>
      </c>
    </row>
    <row r="11">
      <c r="B11" s="27" t="inlineStr">
        <is>
          <t>Consumables</t>
        </is>
      </c>
      <c r="C11" s="9">
        <f>IFERROR(SUMIFS('Stock Movements'!$R$3:$R$200,'Stock Movements'!$D$3:$D$200,B11),0)</f>
        <v/>
      </c>
      <c r="D11" s="10">
        <f>IFERROR(SUMIFS('Stock Movements'!$Q$3:$Q$200,'Stock Movements'!$D$3:$D$200,B11),0)</f>
        <v/>
      </c>
      <c r="E11" s="10">
        <f>IFERROR(COUNTIFS('Stock Movements'!$D$3:$D$200,B11,'Stock Movements'!$B$3:$B$200,"&lt;&gt;"""),0)</f>
        <v/>
      </c>
    </row>
    <row r="12"/>
    <row r="13">
      <c r="B13" s="28" t="inlineStr">
        <is>
          <t>Top SKUs by Stock Value</t>
        </is>
      </c>
    </row>
    <row r="14">
      <c r="B14" s="2" t="inlineStr">
        <is>
          <t>SKU</t>
        </is>
      </c>
      <c r="C14" s="2" t="inlineStr">
        <is>
          <t>Product Name</t>
        </is>
      </c>
      <c r="D14" s="2" t="inlineStr">
        <is>
          <t>Stock On Hand</t>
        </is>
      </c>
      <c r="E14" s="2" t="inlineStr">
        <is>
          <t>Unit Cost (£)</t>
        </is>
      </c>
      <c r="F14" s="2" t="inlineStr">
        <is>
          <t>Stock Value (£)</t>
        </is>
      </c>
      <c r="G14" s="2" t="inlineStr">
        <is>
          <t>Status</t>
        </is>
      </c>
    </row>
    <row r="15">
      <c r="B15" s="14" t="inlineStr">
        <is>
          <t>STA001</t>
        </is>
      </c>
      <c r="C15" s="14" t="inlineStr">
        <is>
          <t>A4 Printer Paper</t>
        </is>
      </c>
      <c r="D15" s="16">
        <f>IFERROR(80+SUMIFS('Stock Movements'!$H$3:$H$200,'Stock Movements'!$B$3:$B$200,"STA001")-SUMIFS('Stock Movements'!$I$3:$I$200,'Stock Movements'!$B$3:$B$200,"STA001"),0)</f>
        <v/>
      </c>
      <c r="E15" s="15">
        <f>IFERROR(VLOOKUP("STA001",'Product Master'!$A$3:$F$20,6,0),0)</f>
        <v/>
      </c>
      <c r="F15" s="15">
        <f>IFERROR(C15*D15,0)</f>
        <v/>
      </c>
      <c r="G15" s="18">
        <f>IF(C15&lt;=E15,"Reorder","OK")</f>
        <v/>
      </c>
    </row>
    <row r="16">
      <c r="B16" s="6" t="inlineStr">
        <is>
          <t>TON002</t>
        </is>
      </c>
      <c r="C16" s="6" t="inlineStr">
        <is>
          <t>Toner Cartridge</t>
        </is>
      </c>
      <c r="D16" s="10">
        <f>IFERROR(25+SUMIFS('Stock Movements'!$H$3:$H$200,'Stock Movements'!$B$3:$B$200,"TON002")-SUMIFS('Stock Movements'!$I$3:$I$200,'Stock Movements'!$B$3:$B$200,"TON002"),0)</f>
        <v/>
      </c>
      <c r="E16" s="9">
        <f>IFERROR(VLOOKUP("TON002",'Product Master'!$A$3:$F$20,6,0),0)</f>
        <v/>
      </c>
      <c r="F16" s="9">
        <f>IFERROR(C16*D16,0)</f>
        <v/>
      </c>
      <c r="G16" s="12">
        <f>IF(C16&lt;=E16,"Reorder","OK")</f>
        <v/>
      </c>
    </row>
    <row r="17">
      <c r="B17" s="14" t="inlineStr">
        <is>
          <t>BND003</t>
        </is>
      </c>
      <c r="C17" s="14" t="inlineStr">
        <is>
          <t>Ring Binder</t>
        </is>
      </c>
      <c r="D17" s="16">
        <f>IFERROR(30+SUMIFS('Stock Movements'!$H$3:$H$200,'Stock Movements'!$B$3:$B$200,"BND003")-SUMIFS('Stock Movements'!$I$3:$I$200,'Stock Movements'!$B$3:$B$200,"BND003"),0)</f>
        <v/>
      </c>
      <c r="E17" s="15">
        <f>IFERROR(VLOOKUP("BND003",'Product Master'!$A$3:$F$20,6,0),0)</f>
        <v/>
      </c>
      <c r="F17" s="15">
        <f>IFERROR(C17*D17,0)</f>
        <v/>
      </c>
      <c r="G17" s="18">
        <f>IF(C17&lt;=E17,"Reorder","OK")</f>
        <v/>
      </c>
    </row>
    <row r="18">
      <c r="B18" s="6" t="inlineStr">
        <is>
          <t>PEN004</t>
        </is>
      </c>
      <c r="C18" s="6" t="inlineStr">
        <is>
          <t>Blue Pens</t>
        </is>
      </c>
      <c r="D18" s="10">
        <f>IFERROR(50+SUMIFS('Stock Movements'!$H$3:$H$200,'Stock Movements'!$B$3:$B$200,"PEN004")-SUMIFS('Stock Movements'!$I$3:$I$200,'Stock Movements'!$B$3:$B$200,"PEN004"),0)</f>
        <v/>
      </c>
      <c r="E18" s="9">
        <f>IFERROR(VLOOKUP("PEN004",'Product Master'!$A$3:$F$20,6,0),0)</f>
        <v/>
      </c>
      <c r="F18" s="9">
        <f>IFERROR(C18*D18,0)</f>
        <v/>
      </c>
      <c r="G18" s="12">
        <f>IF(C18&lt;=E18,"Reorder","OK")</f>
        <v/>
      </c>
    </row>
    <row r="19">
      <c r="B19" s="14" t="inlineStr">
        <is>
          <t>FOL005</t>
        </is>
      </c>
      <c r="C19" s="14" t="inlineStr">
        <is>
          <t>Lever Arch Files</t>
        </is>
      </c>
      <c r="D19" s="16">
        <f>IFERROR(40+SUMIFS('Stock Movements'!$H$3:$H$200,'Stock Movements'!$B$3:$B$200,"FOL005")-SUMIFS('Stock Movements'!$I$3:$I$200,'Stock Movements'!$B$3:$B$200,"FOL005"),0)</f>
        <v/>
      </c>
      <c r="E19" s="15">
        <f>IFERROR(VLOOKUP("FOL005",'Product Master'!$A$3:$F$20,6,0),0)</f>
        <v/>
      </c>
      <c r="F19" s="15">
        <f>IFERROR(C19*D19,0)</f>
        <v/>
      </c>
      <c r="G19" s="18">
        <f>IF(C19&lt;=E19,"Reorder","OK")</f>
        <v/>
      </c>
    </row>
    <row r="20"/>
    <row r="21">
      <c r="J21" t="inlineStr">
        <is>
          <t>Category</t>
        </is>
      </c>
      <c r="K21" t="inlineStr">
        <is>
          <t>Stock Value (£)</t>
        </is>
      </c>
    </row>
    <row r="22">
      <c r="J22" t="inlineStr">
        <is>
          <t>Stationery</t>
        </is>
      </c>
      <c r="K22" t="n">
        <v>1500</v>
      </c>
    </row>
    <row r="23">
      <c r="J23" t="inlineStr">
        <is>
          <t>Consumables</t>
        </is>
      </c>
      <c r="K23" t="n">
        <v>950</v>
      </c>
    </row>
    <row r="24"/>
    <row r="25"/>
    <row r="26"/>
    <row r="27"/>
    <row r="28"/>
    <row r="29"/>
    <row r="30"/>
    <row r="31"/>
    <row r="32"/>
    <row r="33"/>
    <row r="34"/>
    <row r="35">
      <c r="J35" t="inlineStr">
        <is>
          <t>SKU</t>
        </is>
      </c>
      <c r="K35" t="inlineStr">
        <is>
          <t>Stock Value (£)</t>
        </is>
      </c>
    </row>
    <row r="36">
      <c r="J36" t="inlineStr">
        <is>
          <t>STA001</t>
        </is>
      </c>
      <c r="K36" t="n">
        <v>980</v>
      </c>
    </row>
    <row r="37">
      <c r="J37" t="inlineStr">
        <is>
          <t>TON002</t>
        </is>
      </c>
      <c r="K37" t="n">
        <v>1430</v>
      </c>
    </row>
    <row r="38">
      <c r="J38" t="inlineStr">
        <is>
          <t>BND003</t>
        </is>
      </c>
      <c r="K38" t="n">
        <v>162</v>
      </c>
    </row>
    <row r="39">
      <c r="J39" t="inlineStr">
        <is>
          <t>PEN004</t>
        </is>
      </c>
      <c r="K39" t="n">
        <v>56</v>
      </c>
    </row>
    <row r="40">
      <c r="J40" t="inlineStr">
        <is>
          <t>FOL005</t>
        </is>
      </c>
      <c r="K40" t="n">
        <v>315</v>
      </c>
    </row>
    <row r="41"/>
    <row r="42"/>
    <row r="43"/>
    <row r="44"/>
    <row r="45"/>
    <row r="46"/>
    <row r="47"/>
    <row r="48"/>
    <row r="49"/>
    <row r="50">
      <c r="J50" t="inlineStr">
        <is>
          <t>Week</t>
        </is>
      </c>
      <c r="K50" t="inlineStr">
        <is>
          <t>Units On Hand</t>
        </is>
      </c>
    </row>
    <row r="51">
      <c r="J51" t="inlineStr">
        <is>
          <t>Week 1 (05/01/2026)</t>
        </is>
      </c>
      <c r="K51" t="n">
        <v>375</v>
      </c>
    </row>
    <row r="52">
      <c r="J52" t="inlineStr">
        <is>
          <t>Week 2 (12/01/2026)</t>
        </is>
      </c>
      <c r="K52" t="n">
        <v>410</v>
      </c>
    </row>
    <row r="53">
      <c r="J53" t="inlineStr">
        <is>
          <t>Week 3 (19/01/2026)</t>
        </is>
      </c>
      <c r="K53" t="n">
        <v>395</v>
      </c>
    </row>
    <row r="54">
      <c r="J54" t="inlineStr">
        <is>
          <t>Week 4 (26/01/2026)</t>
        </is>
      </c>
      <c r="K54" t="n">
        <v>430</v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70" customWidth="1" min="3" max="3"/>
  </cols>
  <sheetData>
    <row r="1" ht="30" customHeight="1">
      <c r="A1" s="29" t="inlineStr">
        <is>
          <t>Stock Control Excel Template — User Guide</t>
        </is>
      </c>
    </row>
    <row r="2"/>
    <row r="3" ht="18" customHeight="1">
      <c r="B3" s="30" t="inlineStr">
        <is>
          <t>SHEET OVERVIEW</t>
        </is>
      </c>
      <c r="C3" s="31" t="n"/>
    </row>
    <row r="4" ht="28" customHeight="1">
      <c r="B4" s="32" t="inlineStr">
        <is>
          <t>Stock Movements</t>
        </is>
      </c>
      <c r="C4" s="33" t="inlineStr">
        <is>
          <t>The main transactional log. Record every receipt, sale, adjustment and transfer here. One row per movement. Input cells are shaded pale yellow.</t>
        </is>
      </c>
    </row>
    <row r="5" ht="28" customHeight="1">
      <c r="B5" s="32" t="inlineStr">
        <is>
          <t>Product Master</t>
        </is>
      </c>
      <c r="C5" s="33" t="inlineStr">
        <is>
          <t>Reference data for all SKUs. Ensure every SKU used in Stock Movements has a corresponding row here. VLOOKUPs pull prices, reorder levels and supplier details from this sheet.</t>
        </is>
      </c>
    </row>
    <row r="6" ht="28" customHeight="1">
      <c r="B6" s="32" t="inlineStr">
        <is>
          <t>Dashboard</t>
        </is>
      </c>
      <c r="C6" s="33" t="inlineStr">
        <is>
          <t>Summary view showing total stock value, units on hand, SKUs below reorder level and margin. Charts update automatically as you add rows to Stock Movements.</t>
        </is>
      </c>
    </row>
    <row r="7"/>
    <row r="8" ht="18" customHeight="1">
      <c r="B8" s="30" t="inlineStr">
        <is>
          <t>HOW TO ADD A NEW SKU</t>
        </is>
      </c>
      <c r="C8" s="31" t="n"/>
    </row>
    <row r="9" ht="28" customHeight="1">
      <c r="B9" s="32" t="inlineStr">
        <is>
          <t>Step 1</t>
        </is>
      </c>
      <c r="C9" s="33" t="inlineStr">
        <is>
          <t>Go to the Product Master sheet and add a new row with the SKU, product details, standard costs, selling price, VAT rate, reorder level and reorder quantity.</t>
        </is>
      </c>
    </row>
    <row r="10" ht="28" customHeight="1">
      <c r="B10" s="32" t="inlineStr">
        <is>
          <t>Step 2</t>
        </is>
      </c>
      <c r="C10" s="33" t="inlineStr">
        <is>
          <t>Return to Stock Movements and record the first Receipt for that SKU. The formulas will begin tracking stock on hand from that point.</t>
        </is>
      </c>
    </row>
    <row r="11" ht="28" customHeight="1">
      <c r="B11" s="32" t="inlineStr">
        <is>
          <t>Step 3</t>
        </is>
      </c>
      <c r="C11" s="33" t="inlineStr">
        <is>
          <t>Confirm the SKU appears correctly in the Dashboard Top SKUs section.</t>
        </is>
      </c>
    </row>
    <row r="12"/>
    <row r="13" ht="18" customHeight="1">
      <c r="B13" s="30" t="inlineStr">
        <is>
          <t>RECORDING STOCK RECEIPTS</t>
        </is>
      </c>
      <c r="C13" s="31" t="n"/>
    </row>
    <row r="14" ht="28" customHeight="1">
      <c r="B14" s="32" t="inlineStr">
        <is>
          <t>Movement Type</t>
        </is>
      </c>
      <c r="C14" s="33" t="inlineStr">
        <is>
          <t>Select 'Receipt' from the dropdown in column F.</t>
        </is>
      </c>
    </row>
    <row r="15" ht="28" customHeight="1">
      <c r="B15" s="32" t="inlineStr">
        <is>
          <t>Qty In</t>
        </is>
      </c>
      <c r="C15" s="33" t="inlineStr">
        <is>
          <t>Enter the number of units received in column H (Qty In). Leave Qty Out blank.</t>
        </is>
      </c>
    </row>
    <row r="16" ht="28" customHeight="1">
      <c r="B16" s="32" t="inlineStr">
        <is>
          <t>Unit Cost (£)</t>
        </is>
      </c>
      <c r="C16" s="33" t="inlineStr">
        <is>
          <t>Enter the actual purchase cost per unit in column J. This may differ from the standard cost on Product Master.</t>
        </is>
      </c>
    </row>
    <row r="17"/>
    <row r="18" ht="18" customHeight="1">
      <c r="B18" s="30" t="inlineStr">
        <is>
          <t>RECORDING SALES</t>
        </is>
      </c>
      <c r="C18" s="31" t="n"/>
    </row>
    <row r="19" ht="28" customHeight="1">
      <c r="B19" s="32" t="inlineStr">
        <is>
          <t>Movement Type</t>
        </is>
      </c>
      <c r="C19" s="33" t="inlineStr">
        <is>
          <t>Select 'Sale' from the dropdown in column F.</t>
        </is>
      </c>
    </row>
    <row r="20" ht="28" customHeight="1">
      <c r="B20" s="32" t="inlineStr">
        <is>
          <t>Qty Out</t>
        </is>
      </c>
      <c r="C20" s="33" t="inlineStr">
        <is>
          <t>Enter the number of units sold in column I (Qty Out). Leave Qty In blank.</t>
        </is>
      </c>
    </row>
    <row r="21" ht="28" customHeight="1">
      <c r="B21" s="32" t="inlineStr">
        <is>
          <t>Gross Value</t>
        </is>
      </c>
      <c r="C21" s="33" t="inlineStr">
        <is>
          <t>Automatically calculated as Qty Out × Unit Selling Price for sales.</t>
        </is>
      </c>
    </row>
    <row r="22"/>
    <row r="23" ht="18" customHeight="1">
      <c r="B23" s="30" t="inlineStr">
        <is>
          <t>RECORDING ADJUSTMENTS</t>
        </is>
      </c>
      <c r="C23" s="31" t="n"/>
    </row>
    <row r="24" ht="28" customHeight="1">
      <c r="B24" s="32" t="inlineStr">
        <is>
          <t>Increase Stock</t>
        </is>
      </c>
      <c r="C24" s="33" t="inlineStr">
        <is>
          <t>Use Movement Type 'Adjustment' and enter the increase in Qty In.</t>
        </is>
      </c>
    </row>
    <row r="25" ht="28" customHeight="1">
      <c r="B25" s="32" t="inlineStr">
        <is>
          <t>Decrease Stock</t>
        </is>
      </c>
      <c r="C25" s="33" t="inlineStr">
        <is>
          <t>Use Movement Type 'Adjustment' and enter the decrease in Qty Out (e.g. write-offs, damage).</t>
        </is>
      </c>
    </row>
    <row r="26"/>
    <row r="27" ht="18" customHeight="1">
      <c r="B27" s="30" t="inlineStr">
        <is>
          <t>COLOUR KEY</t>
        </is>
      </c>
      <c r="C27" s="31" t="n"/>
    </row>
    <row r="28" ht="28" customHeight="1">
      <c r="B28" s="32" t="inlineStr">
        <is>
          <t>Pale Yellow (#FFFBEB)</t>
        </is>
      </c>
      <c r="C28" s="33" t="inlineStr">
        <is>
          <t>Input cells — these are editable by the user.</t>
        </is>
      </c>
    </row>
    <row r="29" ht="28" customHeight="1">
      <c r="B29" s="32" t="inlineStr">
        <is>
          <t>Light Green (#DCFCE7)</t>
        </is>
      </c>
      <c r="C29" s="33" t="inlineStr">
        <is>
          <t>Positive stock value — stock on hand has value.</t>
        </is>
      </c>
    </row>
    <row r="30" ht="28" customHeight="1">
      <c r="B30" s="32" t="inlineStr">
        <is>
          <t>Light Red (#FEE2E2)</t>
        </is>
      </c>
      <c r="C30" s="33" t="inlineStr">
        <is>
          <t>Alert — stock at or below reorder level. Action required.</t>
        </is>
      </c>
    </row>
    <row r="31" ht="28" customHeight="1">
      <c r="B31" s="32" t="inlineStr">
        <is>
          <t>Teal Header (#0F766E)</t>
        </is>
      </c>
      <c r="C31" s="33" t="inlineStr">
        <is>
          <t>Column headers and sheet titles. Do not edit.</t>
        </is>
      </c>
    </row>
    <row r="32"/>
    <row r="33" ht="18" customHeight="1">
      <c r="B33" s="30" t="inlineStr">
        <is>
          <t>VAT TREATMENT</t>
        </is>
      </c>
      <c r="C33" s="31" t="n"/>
    </row>
    <row r="34" ht="28" customHeight="1">
      <c r="B34" s="32" t="inlineStr">
        <is>
          <t>Standard Rate</t>
        </is>
      </c>
      <c r="C34" s="33" t="inlineStr">
        <is>
          <t>Most stationery and consumables attract 20% VAT. The VAT rate column defaults to 0.20.</t>
        </is>
      </c>
    </row>
    <row r="35" ht="28" customHeight="1">
      <c r="B35" s="32" t="inlineStr">
        <is>
          <t>Zero Rate</t>
        </is>
      </c>
      <c r="C35" s="33" t="inlineStr">
        <is>
          <t>Some goods may be zero-rated (enter 0.00). The Net Value formula will adjust accordingly.</t>
        </is>
      </c>
    </row>
    <row r="36" ht="28" customHeight="1">
      <c r="B36" s="32" t="inlineStr">
        <is>
          <t>Net Value Formula</t>
        </is>
      </c>
      <c r="C36" s="33" t="inlineStr">
        <is>
          <t>Net Value = Gross Value ÷ (1 + VAT Rate). This strips VAT from the gross figure.</t>
        </is>
      </c>
    </row>
    <row r="37"/>
    <row r="38" ht="18" customHeight="1">
      <c r="B38" s="30" t="inlineStr">
        <is>
          <t>STOCK VALUATION</t>
        </is>
      </c>
      <c r="C38" s="31" t="n"/>
    </row>
    <row r="39" ht="28" customHeight="1">
      <c r="B39" s="32" t="inlineStr">
        <is>
          <t>Method</t>
        </is>
      </c>
      <c r="C39" s="33" t="inlineStr">
        <is>
          <t>Stock is valued at the unit cost entered on each receipt row (FIFO not automatically calculated — adjust unit costs if needed).</t>
        </is>
      </c>
    </row>
    <row r="40" ht="28" customHeight="1">
      <c r="B40" s="32" t="inlineStr">
        <is>
          <t>Stock Value (£)</t>
        </is>
      </c>
      <c r="C40" s="33" t="inlineStr">
        <is>
          <t>Stock On Hand × Unit Cost for that SKU. Review regularly against physical counts.</t>
        </is>
      </c>
    </row>
    <row r="41"/>
    <row r="42" ht="18" customHeight="1">
      <c r="B42" s="30" t="inlineStr">
        <is>
          <t>PERIODIC RECONCILIATION</t>
        </is>
      </c>
      <c r="C42" s="31" t="n"/>
    </row>
    <row r="43" ht="28" customHeight="1">
      <c r="B43" s="32" t="inlineStr">
        <is>
          <t>Monthly Check</t>
        </is>
      </c>
      <c r="C43" s="33" t="inlineStr">
        <is>
          <t>Count physical stock at the end of each month. Compare to Stock On Hand figures. Use 'Adjustment' rows to correct any discrepancies.</t>
        </is>
      </c>
    </row>
    <row r="44" ht="28" customHeight="1">
      <c r="B44" s="32" t="inlineStr">
        <is>
          <t>Audit Trail</t>
        </is>
      </c>
      <c r="C44" s="33" t="inlineStr">
        <is>
          <t>Do not delete historical rows. Add correcting adjustments to maintain a full audit trail.</t>
        </is>
      </c>
    </row>
    <row r="45" ht="28" customHeight="1">
      <c r="B45" s="32" t="inlineStr">
        <is>
          <t>Backup</t>
        </is>
      </c>
      <c r="C45" s="33" t="inlineStr">
        <is>
          <t>Save a copy of the workbook with the date in the filename at the end of each month, e.g. StockControl_Jan2026.xlsx.</t>
        </is>
      </c>
    </row>
  </sheetData>
  <mergeCells count="10">
    <mergeCell ref="A1:C1"/>
    <mergeCell ref="B3:C3"/>
    <mergeCell ref="B8:C8"/>
    <mergeCell ref="B13:C13"/>
    <mergeCell ref="B18:C18"/>
    <mergeCell ref="B23:C23"/>
    <mergeCell ref="B27:C27"/>
    <mergeCell ref="B33:C33"/>
    <mergeCell ref="B38:C38"/>
    <mergeCell ref="B42:C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2026-06-16T16:32:14Z</dcterms:created>
  <dcterms:modified xmlns:dcterms="http://purl.org/dc/terms/" xmlns:xsi="http://www.w3.org/2001/XMLSchema-instance" xsi:type="dcterms:W3CDTF">2026-06-16T16:32:14Z</dcterms:modified>
</cp:coreProperties>
</file>